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3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022473\Documents\.  B.  Personal backup done 12_5_16\Church\Finance Committee\2018\"/>
    </mc:Choice>
  </mc:AlternateContent>
  <bookViews>
    <workbookView xWindow="120" yWindow="708" windowWidth="15588" windowHeight="6828" tabRatio="458" activeTab="1"/>
  </bookViews>
  <sheets>
    <sheet name="Top Sheet" sheetId="9" r:id="rId1"/>
    <sheet name="Summary New Year" sheetId="20" r:id="rId2"/>
    <sheet name="New Year-Full Year" sheetId="1" r:id="rId3"/>
  </sheets>
  <definedNames>
    <definedName name="Bud_Yr">'Top Sheet'!$C$2</definedName>
    <definedName name="_xlnm.Print_Titles" localSheetId="2">'New Year-Full Year'!$2:$4</definedName>
    <definedName name="_xlnm.Print_Titles" localSheetId="1">'Summary New Year'!$1:$4</definedName>
  </definedNames>
  <calcPr calcId="171027"/>
</workbook>
</file>

<file path=xl/calcChain.xml><?xml version="1.0" encoding="utf-8"?>
<calcChain xmlns="http://schemas.openxmlformats.org/spreadsheetml/2006/main">
  <c r="J71" i="20" l="1"/>
  <c r="I71" i="20"/>
  <c r="F71" i="20"/>
  <c r="E71" i="20"/>
  <c r="J102" i="20" l="1"/>
  <c r="K102" i="20" s="1"/>
  <c r="I102" i="20"/>
  <c r="F102" i="20"/>
  <c r="G102" i="20" s="1"/>
  <c r="E102" i="20"/>
  <c r="J72" i="20"/>
  <c r="I72" i="20"/>
  <c r="F72" i="20"/>
  <c r="E72" i="20"/>
  <c r="O166" i="1"/>
  <c r="O106" i="1" l="1"/>
  <c r="O107" i="1" s="1"/>
  <c r="P107" i="1"/>
  <c r="M78" i="1" l="1"/>
  <c r="T123" i="1" l="1"/>
  <c r="V135" i="1"/>
  <c r="U83" i="1"/>
  <c r="U82" i="1"/>
  <c r="U78" i="1"/>
  <c r="U93" i="1" l="1"/>
  <c r="T93" i="1"/>
  <c r="Q93" i="1"/>
  <c r="P93" i="1"/>
  <c r="O93" i="1"/>
  <c r="O175" i="1" l="1"/>
  <c r="V168" i="1"/>
  <c r="R168" i="1"/>
  <c r="W78" i="1"/>
  <c r="O78" i="1"/>
  <c r="O136" i="1" s="1"/>
  <c r="U84" i="1"/>
  <c r="V82" i="1"/>
  <c r="P83" i="1"/>
  <c r="R83" i="1" s="1"/>
  <c r="P84" i="1"/>
  <c r="P82" i="1"/>
  <c r="V81" i="1"/>
  <c r="R81" i="1"/>
  <c r="Q81" i="1"/>
  <c r="V83" i="1"/>
  <c r="F79" i="1"/>
  <c r="K79" i="1"/>
  <c r="K78" i="1"/>
  <c r="I78" i="1"/>
  <c r="Q168" i="1" l="1"/>
  <c r="I82" i="1"/>
  <c r="J82" i="1" s="1"/>
  <c r="O84" i="1" s="1"/>
  <c r="Q83" i="1"/>
  <c r="P167" i="1"/>
  <c r="O82" i="1" l="1"/>
  <c r="R82" i="1" s="1"/>
  <c r="U175" i="1"/>
  <c r="T175" i="1"/>
  <c r="P175" i="1"/>
  <c r="R175" i="1" s="1"/>
  <c r="O119" i="1"/>
  <c r="O118" i="1"/>
  <c r="I106" i="1"/>
  <c r="E106" i="1"/>
  <c r="P106" i="1" s="1"/>
  <c r="O101" i="1"/>
  <c r="O64" i="1"/>
  <c r="H134" i="1"/>
  <c r="F134" i="1" s="1"/>
  <c r="W134" i="1" s="1"/>
  <c r="L134" i="1"/>
  <c r="L130" i="1"/>
  <c r="L129" i="1"/>
  <c r="L128" i="1"/>
  <c r="L127" i="1"/>
  <c r="L135" i="1"/>
  <c r="F130" i="1"/>
  <c r="W130" i="1" s="1"/>
  <c r="H129" i="1"/>
  <c r="F129" i="1" s="1"/>
  <c r="W129" i="1" s="1"/>
  <c r="H128" i="1"/>
  <c r="F128" i="1" s="1"/>
  <c r="L102" i="1"/>
  <c r="F102" i="1"/>
  <c r="O102" i="1" s="1"/>
  <c r="H127" i="1"/>
  <c r="Q82" i="1" l="1"/>
  <c r="W102" i="1"/>
  <c r="Q175" i="1"/>
  <c r="V175" i="1"/>
  <c r="O128" i="1"/>
  <c r="W128" i="1"/>
  <c r="O134" i="1"/>
  <c r="F135" i="1"/>
  <c r="F127" i="1"/>
  <c r="O96" i="1"/>
  <c r="M73" i="1"/>
  <c r="I73" i="1"/>
  <c r="E73" i="1"/>
  <c r="W4" i="1"/>
  <c r="T2" i="1"/>
  <c r="Q3" i="1"/>
  <c r="P3" i="1"/>
  <c r="O3" i="1"/>
  <c r="W135" i="1" l="1"/>
  <c r="O135" i="1"/>
  <c r="W127" i="1"/>
  <c r="O127" i="1"/>
  <c r="W118" i="1"/>
  <c r="V119" i="1"/>
  <c r="R119" i="1"/>
  <c r="Q119" i="1" l="1"/>
  <c r="V44" i="1" l="1"/>
  <c r="R44" i="1"/>
  <c r="Q44" i="1"/>
  <c r="R135" i="1"/>
  <c r="Q135" i="1"/>
  <c r="O85" i="1"/>
  <c r="C8" i="20"/>
  <c r="C9" i="20"/>
  <c r="C10" i="20"/>
  <c r="C11" i="20"/>
  <c r="C7" i="20"/>
  <c r="C16" i="20"/>
  <c r="C17" i="20"/>
  <c r="C18" i="20"/>
  <c r="C19" i="20"/>
  <c r="C15" i="20"/>
  <c r="C29" i="20"/>
  <c r="C30" i="20"/>
  <c r="C31" i="20"/>
  <c r="C32" i="20"/>
  <c r="C33" i="20"/>
  <c r="C34" i="20"/>
  <c r="C28" i="20"/>
  <c r="C39" i="20"/>
  <c r="C40" i="20"/>
  <c r="C38" i="20"/>
  <c r="C47" i="20"/>
  <c r="C46" i="20"/>
  <c r="C54" i="20"/>
  <c r="C55" i="20"/>
  <c r="C56" i="20"/>
  <c r="C57" i="20"/>
  <c r="C58" i="20"/>
  <c r="C53" i="20"/>
  <c r="C63" i="20"/>
  <c r="C64" i="20"/>
  <c r="C65" i="20"/>
  <c r="C66" i="20"/>
  <c r="C62" i="20"/>
  <c r="C79" i="20"/>
  <c r="C80" i="20"/>
  <c r="C81" i="20"/>
  <c r="C82" i="20"/>
  <c r="C83" i="20"/>
  <c r="C84" i="20"/>
  <c r="C78" i="20"/>
  <c r="C89" i="20"/>
  <c r="C90" i="20"/>
  <c r="C91" i="20"/>
  <c r="C92" i="20"/>
  <c r="C93" i="20"/>
  <c r="C88" i="20"/>
  <c r="C100" i="20"/>
  <c r="C101" i="20"/>
  <c r="C103" i="20"/>
  <c r="C99" i="20"/>
  <c r="P166" i="1"/>
  <c r="P165" i="1"/>
  <c r="P149" i="1"/>
  <c r="P136" i="1"/>
  <c r="P134" i="1"/>
  <c r="O123" i="1"/>
  <c r="P127" i="1"/>
  <c r="P128" i="1"/>
  <c r="O120" i="1"/>
  <c r="O116" i="1"/>
  <c r="P111" i="1"/>
  <c r="P109" i="1"/>
  <c r="P102" i="1"/>
  <c r="P96" i="1"/>
  <c r="P87" i="1"/>
  <c r="P86" i="1"/>
  <c r="P79" i="1"/>
  <c r="P78" i="1"/>
  <c r="P69" i="1"/>
  <c r="P68" i="1"/>
  <c r="P61" i="1"/>
  <c r="V165" i="1" l="1"/>
  <c r="P170" i="1" l="1"/>
  <c r="J99" i="20" l="1"/>
  <c r="I99" i="20"/>
  <c r="F99" i="20"/>
  <c r="R165" i="1"/>
  <c r="E99" i="20" l="1"/>
  <c r="Q165" i="1"/>
  <c r="P26" i="1" l="1"/>
  <c r="P27" i="1"/>
  <c r="P139" i="1"/>
  <c r="P151" i="1"/>
  <c r="P160" i="1"/>
  <c r="P124" i="1"/>
  <c r="P88" i="1"/>
  <c r="P98" i="1"/>
  <c r="P103" i="1"/>
  <c r="P113" i="1"/>
  <c r="P73" i="1"/>
  <c r="P65" i="1"/>
  <c r="P54" i="1"/>
  <c r="P20" i="1"/>
  <c r="P47" i="1"/>
  <c r="P161" i="1" l="1"/>
  <c r="I3" i="20"/>
  <c r="J9" i="20" l="1"/>
  <c r="J10" i="20"/>
  <c r="I9" i="20"/>
  <c r="I10" i="20"/>
  <c r="E57" i="20"/>
  <c r="F57" i="20"/>
  <c r="I57" i="20"/>
  <c r="J57" i="20"/>
  <c r="J73" i="20"/>
  <c r="I73" i="20"/>
  <c r="F73" i="20"/>
  <c r="G57" i="20" l="1"/>
  <c r="K57" i="20"/>
  <c r="V63" i="1"/>
  <c r="R63" i="1"/>
  <c r="Q63" i="1" l="1"/>
  <c r="E33" i="20" l="1"/>
  <c r="F33" i="20"/>
  <c r="I33" i="20"/>
  <c r="J33" i="20"/>
  <c r="V111" i="1"/>
  <c r="R111" i="1"/>
  <c r="Q111" i="1"/>
  <c r="U98" i="1"/>
  <c r="T98" i="1"/>
  <c r="O98" i="1"/>
  <c r="V97" i="1"/>
  <c r="R97" i="1"/>
  <c r="Q97" i="1"/>
  <c r="V96" i="1"/>
  <c r="R96" i="1"/>
  <c r="Q96" i="1"/>
  <c r="H96" i="1"/>
  <c r="R98" i="1" l="1"/>
  <c r="V98" i="1"/>
  <c r="K33" i="20"/>
  <c r="G33" i="20"/>
  <c r="Q98" i="1"/>
  <c r="Q169" i="1"/>
  <c r="Q167" i="1"/>
  <c r="Q166" i="1"/>
  <c r="Q159" i="1"/>
  <c r="Q158" i="1"/>
  <c r="Q157" i="1"/>
  <c r="Q156" i="1"/>
  <c r="Q155" i="1"/>
  <c r="Q154" i="1"/>
  <c r="Q150" i="1"/>
  <c r="Q149" i="1"/>
  <c r="Q148" i="1"/>
  <c r="Q147" i="1"/>
  <c r="Q146" i="1"/>
  <c r="Q145" i="1"/>
  <c r="Q144" i="1"/>
  <c r="Q138" i="1"/>
  <c r="Q133" i="1"/>
  <c r="Q131" i="1"/>
  <c r="Q123" i="1"/>
  <c r="Q122" i="1"/>
  <c r="Q121" i="1"/>
  <c r="Q117" i="1"/>
  <c r="Q116" i="1"/>
  <c r="Q112" i="1"/>
  <c r="Q110" i="1"/>
  <c r="Q109" i="1"/>
  <c r="Q108" i="1"/>
  <c r="Q107" i="1"/>
  <c r="Q102" i="1"/>
  <c r="Q92" i="1"/>
  <c r="Q91" i="1"/>
  <c r="Q87" i="1"/>
  <c r="Q86" i="1"/>
  <c r="Q85" i="1"/>
  <c r="Q84" i="1"/>
  <c r="Q80" i="1"/>
  <c r="Q79" i="1"/>
  <c r="Q78" i="1"/>
  <c r="Q70" i="1"/>
  <c r="Q69" i="1"/>
  <c r="Q68" i="1"/>
  <c r="Q62" i="1"/>
  <c r="Q61" i="1"/>
  <c r="Q56" i="1"/>
  <c r="Q53" i="1"/>
  <c r="Q52" i="1"/>
  <c r="Q49" i="1"/>
  <c r="Q45" i="1"/>
  <c r="Q43" i="1"/>
  <c r="Q38" i="1"/>
  <c r="Q37" i="1"/>
  <c r="Q36" i="1"/>
  <c r="Q35" i="1"/>
  <c r="Q34" i="1"/>
  <c r="Q151" i="1" l="1"/>
  <c r="Q160" i="1"/>
  <c r="Q54" i="1"/>
  <c r="Q170" i="1"/>
  <c r="Q88" i="1"/>
  <c r="Q161" i="1" l="1"/>
  <c r="Q134" i="1" l="1"/>
  <c r="Q127" i="1"/>
  <c r="R38" i="1"/>
  <c r="V38" i="1"/>
  <c r="G4" i="20" l="1"/>
  <c r="F4" i="20"/>
  <c r="E4" i="20"/>
  <c r="J4" i="20"/>
  <c r="I4" i="20"/>
  <c r="V49" i="1"/>
  <c r="R49" i="1"/>
  <c r="J43" i="20"/>
  <c r="I43" i="20"/>
  <c r="F43" i="20"/>
  <c r="E43" i="20"/>
  <c r="G43" i="20" l="1"/>
  <c r="K43" i="20"/>
  <c r="J103" i="20" l="1"/>
  <c r="J100" i="20"/>
  <c r="J93" i="20"/>
  <c r="J92" i="20"/>
  <c r="J91" i="20"/>
  <c r="J90" i="20"/>
  <c r="J89" i="20"/>
  <c r="J88" i="20"/>
  <c r="J84" i="20"/>
  <c r="J83" i="20"/>
  <c r="J82" i="20"/>
  <c r="J81" i="20"/>
  <c r="J80" i="20"/>
  <c r="J79" i="20"/>
  <c r="J78" i="20"/>
  <c r="J66" i="20"/>
  <c r="J65" i="20"/>
  <c r="J64" i="20"/>
  <c r="J63" i="20"/>
  <c r="J62" i="20"/>
  <c r="J58" i="20"/>
  <c r="J56" i="20"/>
  <c r="J55" i="20"/>
  <c r="J50" i="20"/>
  <c r="J47" i="20"/>
  <c r="J46" i="20"/>
  <c r="J40" i="20"/>
  <c r="J39" i="20"/>
  <c r="J38" i="20"/>
  <c r="J34" i="20"/>
  <c r="J32" i="20"/>
  <c r="J30" i="20"/>
  <c r="J29" i="20"/>
  <c r="J28" i="20"/>
  <c r="J24" i="20"/>
  <c r="J15" i="20"/>
  <c r="J11" i="20"/>
  <c r="J8" i="20"/>
  <c r="J7" i="20"/>
  <c r="J109" i="20" s="1"/>
  <c r="I101" i="20"/>
  <c r="I100" i="20"/>
  <c r="I93" i="20"/>
  <c r="I92" i="20"/>
  <c r="I91" i="20"/>
  <c r="I90" i="20"/>
  <c r="I89" i="20"/>
  <c r="I88" i="20"/>
  <c r="I84" i="20"/>
  <c r="I83" i="20"/>
  <c r="I82" i="20"/>
  <c r="I81" i="20"/>
  <c r="I80" i="20"/>
  <c r="I79" i="20"/>
  <c r="I78" i="20"/>
  <c r="I66" i="20"/>
  <c r="I65" i="20"/>
  <c r="I64" i="20"/>
  <c r="I63" i="20"/>
  <c r="I62" i="20"/>
  <c r="I58" i="20"/>
  <c r="I56" i="20"/>
  <c r="I55" i="20"/>
  <c r="I50" i="20"/>
  <c r="I47" i="20"/>
  <c r="I46" i="20"/>
  <c r="I40" i="20"/>
  <c r="I39" i="20"/>
  <c r="I38" i="20"/>
  <c r="I34" i="20"/>
  <c r="I32" i="20"/>
  <c r="I31" i="20"/>
  <c r="I30" i="20"/>
  <c r="I29" i="20"/>
  <c r="I28" i="20"/>
  <c r="I24" i="20"/>
  <c r="I19" i="20"/>
  <c r="I18" i="20"/>
  <c r="I16" i="20"/>
  <c r="I15" i="20"/>
  <c r="I11" i="20"/>
  <c r="I8" i="20"/>
  <c r="I7" i="20"/>
  <c r="I109" i="20" s="1"/>
  <c r="V86" i="1"/>
  <c r="R86" i="1"/>
  <c r="K109" i="20" l="1"/>
  <c r="J48" i="20"/>
  <c r="I85" i="20"/>
  <c r="I35" i="20"/>
  <c r="I12" i="20"/>
  <c r="I41" i="20"/>
  <c r="J85" i="20"/>
  <c r="J94" i="20"/>
  <c r="I48" i="20"/>
  <c r="I94" i="20"/>
  <c r="J12" i="20"/>
  <c r="J41" i="20"/>
  <c r="I95" i="20" l="1"/>
  <c r="J95" i="20"/>
  <c r="V122" i="1"/>
  <c r="R122" i="1"/>
  <c r="Q7" i="1"/>
  <c r="Q71" i="1"/>
  <c r="Q72" i="1"/>
  <c r="Q60" i="1"/>
  <c r="Q64" i="1"/>
  <c r="Q59" i="1"/>
  <c r="Q46" i="1"/>
  <c r="Q39" i="1"/>
  <c r="V80" i="1"/>
  <c r="R80" i="1"/>
  <c r="Q73" i="1" l="1"/>
  <c r="Q47" i="1"/>
  <c r="Q65" i="1"/>
  <c r="F29" i="20"/>
  <c r="F30" i="20"/>
  <c r="F31" i="20"/>
  <c r="F32" i="20"/>
  <c r="F34" i="20"/>
  <c r="F38" i="20"/>
  <c r="F39" i="20"/>
  <c r="F40" i="20"/>
  <c r="F46" i="20"/>
  <c r="F47" i="20"/>
  <c r="F50" i="20"/>
  <c r="F53" i="20"/>
  <c r="F54" i="20"/>
  <c r="F55" i="20"/>
  <c r="F56" i="20"/>
  <c r="F58" i="20"/>
  <c r="F62" i="20"/>
  <c r="F63" i="20"/>
  <c r="F64" i="20"/>
  <c r="F65" i="20"/>
  <c r="F66" i="20"/>
  <c r="F78" i="20"/>
  <c r="F79" i="20"/>
  <c r="F80" i="20"/>
  <c r="F81" i="20"/>
  <c r="F82" i="20"/>
  <c r="F83" i="20"/>
  <c r="F84" i="20"/>
  <c r="F88" i="20"/>
  <c r="F89" i="20"/>
  <c r="F90" i="20"/>
  <c r="F91" i="20"/>
  <c r="F92" i="20"/>
  <c r="F93" i="20"/>
  <c r="F100" i="20"/>
  <c r="F101" i="20"/>
  <c r="F103" i="20"/>
  <c r="F15" i="20"/>
  <c r="F16" i="20"/>
  <c r="F17" i="20"/>
  <c r="F18" i="20"/>
  <c r="F19" i="20"/>
  <c r="F7" i="20"/>
  <c r="F109" i="20" s="1"/>
  <c r="O132" i="1"/>
  <c r="E73" i="20" l="1"/>
  <c r="Q132" i="1"/>
  <c r="F41" i="20"/>
  <c r="F104" i="20"/>
  <c r="F59" i="20"/>
  <c r="F67" i="20"/>
  <c r="F48" i="20"/>
  <c r="F85" i="20"/>
  <c r="F94" i="20"/>
  <c r="F95" i="20" l="1"/>
  <c r="E103" i="20" l="1"/>
  <c r="G103" i="20" s="1"/>
  <c r="E101" i="20"/>
  <c r="E100" i="20"/>
  <c r="E92" i="20"/>
  <c r="E91" i="20"/>
  <c r="E90" i="20"/>
  <c r="E89" i="20"/>
  <c r="E88" i="20"/>
  <c r="E79" i="20"/>
  <c r="E80" i="20"/>
  <c r="E81" i="20"/>
  <c r="G81" i="20" s="1"/>
  <c r="E82" i="20"/>
  <c r="E83" i="20"/>
  <c r="E84" i="20"/>
  <c r="E78" i="20"/>
  <c r="E66" i="20"/>
  <c r="E65" i="20"/>
  <c r="E64" i="20"/>
  <c r="E63" i="20"/>
  <c r="E62" i="20"/>
  <c r="E58" i="20"/>
  <c r="E56" i="20"/>
  <c r="E54" i="20"/>
  <c r="E53" i="20"/>
  <c r="E50" i="20"/>
  <c r="E47" i="20"/>
  <c r="E46" i="20"/>
  <c r="E40" i="20"/>
  <c r="E39" i="20"/>
  <c r="E38" i="20"/>
  <c r="E29" i="20"/>
  <c r="E30" i="20"/>
  <c r="E31" i="20"/>
  <c r="E32" i="20"/>
  <c r="E34" i="20"/>
  <c r="G101" i="20"/>
  <c r="K93" i="20"/>
  <c r="G19" i="20"/>
  <c r="G18" i="20"/>
  <c r="G16" i="20"/>
  <c r="K10" i="20"/>
  <c r="E48" i="20" l="1"/>
  <c r="G40" i="20"/>
  <c r="G54" i="20"/>
  <c r="K11" i="20"/>
  <c r="G91" i="20"/>
  <c r="G79" i="20"/>
  <c r="G83" i="20"/>
  <c r="G38" i="20"/>
  <c r="G39" i="20"/>
  <c r="G58" i="20"/>
  <c r="G100" i="20"/>
  <c r="E85" i="20"/>
  <c r="E104" i="20"/>
  <c r="G89" i="20"/>
  <c r="G80" i="20"/>
  <c r="G84" i="20"/>
  <c r="G90" i="20"/>
  <c r="G88" i="20"/>
  <c r="G92" i="20"/>
  <c r="G82" i="20"/>
  <c r="G29" i="20"/>
  <c r="G34" i="20"/>
  <c r="G65" i="20"/>
  <c r="G50" i="20"/>
  <c r="G30" i="20"/>
  <c r="G56" i="20"/>
  <c r="G66" i="20"/>
  <c r="K30" i="20"/>
  <c r="G47" i="20"/>
  <c r="G63" i="20"/>
  <c r="E67" i="20"/>
  <c r="E41" i="20"/>
  <c r="G64" i="20"/>
  <c r="G32" i="20"/>
  <c r="G31" i="20"/>
  <c r="K8" i="20"/>
  <c r="G99" i="20"/>
  <c r="G46" i="20"/>
  <c r="K84" i="20"/>
  <c r="K32" i="20"/>
  <c r="F20" i="20"/>
  <c r="G53" i="20"/>
  <c r="G17" i="20"/>
  <c r="G78" i="20"/>
  <c r="G62" i="20"/>
  <c r="E55" i="20"/>
  <c r="G55" i="20" s="1"/>
  <c r="G48" i="20" l="1"/>
  <c r="G104" i="20"/>
  <c r="E59" i="20"/>
  <c r="G67" i="20"/>
  <c r="G41" i="20"/>
  <c r="G85" i="20"/>
  <c r="G59" i="20" l="1"/>
  <c r="E93" i="20" l="1"/>
  <c r="E94" i="20" l="1"/>
  <c r="E95" i="20" s="1"/>
  <c r="G95" i="20" s="1"/>
  <c r="G93" i="20"/>
  <c r="V133" i="1"/>
  <c r="R133" i="1"/>
  <c r="G94" i="20" l="1"/>
  <c r="G73" i="20"/>
  <c r="H121" i="1"/>
  <c r="H101" i="1"/>
  <c r="H91" i="1"/>
  <c r="O19" i="1"/>
  <c r="O18" i="1"/>
  <c r="O17" i="1"/>
  <c r="O16" i="1"/>
  <c r="E15" i="20" l="1"/>
  <c r="G15" i="20" s="1"/>
  <c r="Q15" i="1"/>
  <c r="E16" i="20"/>
  <c r="Q16" i="1"/>
  <c r="E17" i="20"/>
  <c r="Q17" i="1"/>
  <c r="E18" i="20"/>
  <c r="Q18" i="1"/>
  <c r="E19" i="20"/>
  <c r="Q19" i="1"/>
  <c r="Q128" i="1" l="1"/>
  <c r="E20" i="20"/>
  <c r="G20" i="20" s="1"/>
  <c r="Q20" i="1"/>
  <c r="E7" i="20"/>
  <c r="E109" i="20" s="1"/>
  <c r="D140" i="1"/>
  <c r="G109" i="20" l="1"/>
  <c r="G7" i="20"/>
  <c r="Q120" i="1" l="1"/>
  <c r="Q118" i="1"/>
  <c r="Q124" i="1" l="1"/>
  <c r="Q106" i="1"/>
  <c r="Q113" i="1" s="1"/>
  <c r="Q101" i="1"/>
  <c r="Q103" i="1" s="1"/>
  <c r="O27" i="1" l="1"/>
  <c r="Q27" i="1" s="1"/>
  <c r="O26" i="1"/>
  <c r="Q26" i="1" s="1"/>
  <c r="K9" i="20" l="1"/>
  <c r="K55" i="20"/>
  <c r="K24" i="20"/>
  <c r="J53" i="20"/>
  <c r="J54" i="20"/>
  <c r="J101" i="20"/>
  <c r="K101" i="20" s="1"/>
  <c r="I67" i="20"/>
  <c r="I53" i="20"/>
  <c r="I54" i="20"/>
  <c r="I17" i="20"/>
  <c r="I20" i="20" s="1"/>
  <c r="I21" i="20" s="1"/>
  <c r="I103" i="20"/>
  <c r="K103" i="20" s="1"/>
  <c r="K54" i="20" l="1"/>
  <c r="I104" i="20"/>
  <c r="I59" i="20"/>
  <c r="I68" i="20" s="1"/>
  <c r="J67" i="20"/>
  <c r="J59" i="20"/>
  <c r="K53" i="20"/>
  <c r="J104" i="20"/>
  <c r="K99" i="20"/>
  <c r="K7" i="20"/>
  <c r="K12" i="20"/>
  <c r="K100" i="20" l="1"/>
  <c r="K104" i="20"/>
  <c r="K89" i="20"/>
  <c r="K81" i="20"/>
  <c r="K88" i="20" l="1"/>
  <c r="K15" i="20"/>
  <c r="K58" i="20"/>
  <c r="K82" i="20"/>
  <c r="K90" i="20"/>
  <c r="K40" i="20"/>
  <c r="K50" i="20"/>
  <c r="K29" i="20"/>
  <c r="K92" i="20"/>
  <c r="K91" i="20"/>
  <c r="K83" i="20"/>
  <c r="K80" i="20"/>
  <c r="K79" i="20"/>
  <c r="K34" i="20"/>
  <c r="K66" i="20"/>
  <c r="K65" i="20"/>
  <c r="K64" i="20"/>
  <c r="K63" i="20"/>
  <c r="K47" i="20"/>
  <c r="K39" i="20"/>
  <c r="K94" i="20" l="1"/>
  <c r="K78" i="20"/>
  <c r="K67" i="20"/>
  <c r="K62" i="20"/>
  <c r="K56" i="20"/>
  <c r="K59" i="20"/>
  <c r="K48" i="20"/>
  <c r="K46" i="20"/>
  <c r="K38" i="20"/>
  <c r="K28" i="20"/>
  <c r="J31" i="20"/>
  <c r="J19" i="20"/>
  <c r="K19" i="20" s="1"/>
  <c r="J17" i="20"/>
  <c r="K17" i="20" s="1"/>
  <c r="J18" i="20"/>
  <c r="K18" i="20" s="1"/>
  <c r="J16" i="20"/>
  <c r="K72" i="20" l="1"/>
  <c r="J35" i="20"/>
  <c r="J68" i="20" s="1"/>
  <c r="K31" i="20"/>
  <c r="J20" i="20"/>
  <c r="K16" i="20"/>
  <c r="K95" i="20"/>
  <c r="K85" i="20"/>
  <c r="K73" i="20"/>
  <c r="K35" i="20" l="1"/>
  <c r="J21" i="20"/>
  <c r="K21" i="20" s="1"/>
  <c r="K20" i="20"/>
  <c r="K41" i="20" l="1"/>
  <c r="K68" i="20"/>
  <c r="U54" i="1" l="1"/>
  <c r="T54" i="1"/>
  <c r="O54" i="1"/>
  <c r="V53" i="1"/>
  <c r="R53" i="1"/>
  <c r="V52" i="1"/>
  <c r="R52" i="1"/>
  <c r="V54" i="1" l="1"/>
  <c r="R54" i="1"/>
  <c r="R106" i="1" l="1"/>
  <c r="R169" i="1"/>
  <c r="R167" i="1"/>
  <c r="R166" i="1"/>
  <c r="R159" i="1"/>
  <c r="R158" i="1"/>
  <c r="R157" i="1"/>
  <c r="R156" i="1"/>
  <c r="R155" i="1"/>
  <c r="R154" i="1"/>
  <c r="R150" i="1"/>
  <c r="R149" i="1"/>
  <c r="R148" i="1"/>
  <c r="R147" i="1"/>
  <c r="R146" i="1"/>
  <c r="R145" i="1"/>
  <c r="R144" i="1"/>
  <c r="R138" i="1"/>
  <c r="R134" i="1"/>
  <c r="R132" i="1"/>
  <c r="R131" i="1"/>
  <c r="R128" i="1"/>
  <c r="R123" i="1"/>
  <c r="R118" i="1"/>
  <c r="R117" i="1"/>
  <c r="R116" i="1"/>
  <c r="R112" i="1"/>
  <c r="R110" i="1"/>
  <c r="R109" i="1"/>
  <c r="R108" i="1"/>
  <c r="R107" i="1"/>
  <c r="R102" i="1"/>
  <c r="R101" i="1"/>
  <c r="R92" i="1"/>
  <c r="R91" i="1"/>
  <c r="R87" i="1"/>
  <c r="R85" i="1"/>
  <c r="R79" i="1"/>
  <c r="R72" i="1"/>
  <c r="R71" i="1"/>
  <c r="R70" i="1"/>
  <c r="R69" i="1"/>
  <c r="R68" i="1"/>
  <c r="R64" i="1"/>
  <c r="R62" i="1"/>
  <c r="R61" i="1"/>
  <c r="R60" i="1"/>
  <c r="R59" i="1"/>
  <c r="R56" i="1"/>
  <c r="R46" i="1"/>
  <c r="R45" i="1"/>
  <c r="R43" i="1"/>
  <c r="R39" i="1"/>
  <c r="R37" i="1"/>
  <c r="R36" i="1"/>
  <c r="R35" i="1"/>
  <c r="R34" i="1"/>
  <c r="R19" i="1"/>
  <c r="R18" i="1"/>
  <c r="R17" i="1"/>
  <c r="R16" i="1"/>
  <c r="R15" i="1"/>
  <c r="R7" i="1"/>
  <c r="V7" i="1"/>
  <c r="V169" i="1"/>
  <c r="V167" i="1"/>
  <c r="V166" i="1"/>
  <c r="V159" i="1"/>
  <c r="V158" i="1"/>
  <c r="V157" i="1"/>
  <c r="V156" i="1"/>
  <c r="V155" i="1"/>
  <c r="V154" i="1"/>
  <c r="V150" i="1"/>
  <c r="V149" i="1"/>
  <c r="V148" i="1"/>
  <c r="V147" i="1"/>
  <c r="V146" i="1"/>
  <c r="V145" i="1"/>
  <c r="V144" i="1"/>
  <c r="V138" i="1"/>
  <c r="V137" i="1"/>
  <c r="V136" i="1"/>
  <c r="V134" i="1"/>
  <c r="V132" i="1"/>
  <c r="V131" i="1"/>
  <c r="V128" i="1"/>
  <c r="V123" i="1"/>
  <c r="V118" i="1"/>
  <c r="V117" i="1"/>
  <c r="V116" i="1"/>
  <c r="V112" i="1"/>
  <c r="V110" i="1"/>
  <c r="V109" i="1"/>
  <c r="V108" i="1"/>
  <c r="V107" i="1"/>
  <c r="V106" i="1"/>
  <c r="V102" i="1"/>
  <c r="V101" i="1"/>
  <c r="V92" i="1"/>
  <c r="V91" i="1"/>
  <c r="V87" i="1"/>
  <c r="V85" i="1"/>
  <c r="V84" i="1"/>
  <c r="V79" i="1"/>
  <c r="V72" i="1"/>
  <c r="V71" i="1"/>
  <c r="V70" i="1"/>
  <c r="V69" i="1"/>
  <c r="V68" i="1"/>
  <c r="V64" i="1"/>
  <c r="V62" i="1"/>
  <c r="V61" i="1"/>
  <c r="V60" i="1"/>
  <c r="V59" i="1"/>
  <c r="V56" i="1"/>
  <c r="V46" i="1"/>
  <c r="V45" i="1"/>
  <c r="V43" i="1"/>
  <c r="V39" i="1"/>
  <c r="V37" i="1"/>
  <c r="V36" i="1"/>
  <c r="V35" i="1"/>
  <c r="V34" i="1"/>
  <c r="V33" i="1"/>
  <c r="V29" i="1"/>
  <c r="V19" i="1"/>
  <c r="V18" i="1"/>
  <c r="V17" i="1"/>
  <c r="V16" i="1"/>
  <c r="V15" i="1"/>
  <c r="V11" i="1"/>
  <c r="V10" i="1"/>
  <c r="V9" i="1"/>
  <c r="V8" i="1"/>
  <c r="U12" i="1"/>
  <c r="U20" i="1"/>
  <c r="U40" i="1"/>
  <c r="U47" i="1"/>
  <c r="U65" i="1"/>
  <c r="U73" i="1"/>
  <c r="U103" i="1"/>
  <c r="U113" i="1"/>
  <c r="U139" i="1"/>
  <c r="U151" i="1"/>
  <c r="U160" i="1"/>
  <c r="U170" i="1"/>
  <c r="T170" i="1"/>
  <c r="T160" i="1"/>
  <c r="T151" i="1"/>
  <c r="T139" i="1"/>
  <c r="T124" i="1"/>
  <c r="T113" i="1"/>
  <c r="T103" i="1"/>
  <c r="T88" i="1"/>
  <c r="T73" i="1"/>
  <c r="T65" i="1"/>
  <c r="T47" i="1"/>
  <c r="T40" i="1"/>
  <c r="T20" i="1"/>
  <c r="T12" i="1"/>
  <c r="O170" i="1"/>
  <c r="O160" i="1"/>
  <c r="O151" i="1"/>
  <c r="O113" i="1"/>
  <c r="O103" i="1"/>
  <c r="O73" i="1"/>
  <c r="O65" i="1"/>
  <c r="O47" i="1"/>
  <c r="O20" i="1"/>
  <c r="I74" i="20" l="1"/>
  <c r="U74" i="1"/>
  <c r="T74" i="1"/>
  <c r="R65" i="1"/>
  <c r="R73" i="1"/>
  <c r="R103" i="1"/>
  <c r="R20" i="1"/>
  <c r="T21" i="1"/>
  <c r="R170" i="1"/>
  <c r="R160" i="1"/>
  <c r="V103" i="1"/>
  <c r="V65" i="1"/>
  <c r="V20" i="1"/>
  <c r="R47" i="1"/>
  <c r="R113" i="1"/>
  <c r="V47" i="1"/>
  <c r="V139" i="1"/>
  <c r="V12" i="1"/>
  <c r="R151" i="1"/>
  <c r="V170" i="1"/>
  <c r="V151" i="1"/>
  <c r="V160" i="1"/>
  <c r="V113" i="1"/>
  <c r="V73" i="1"/>
  <c r="V40" i="1"/>
  <c r="U161" i="1"/>
  <c r="U21" i="1"/>
  <c r="T161" i="1"/>
  <c r="O161" i="1"/>
  <c r="I106" i="20" l="1"/>
  <c r="V21" i="1"/>
  <c r="R161" i="1"/>
  <c r="V74" i="1"/>
  <c r="V161" i="1"/>
  <c r="I107" i="20" l="1"/>
  <c r="I110" i="20"/>
  <c r="I111" i="20" s="1"/>
  <c r="R127" i="1"/>
  <c r="R78" i="1" l="1"/>
  <c r="R84" i="1" l="1"/>
  <c r="O88" i="1"/>
  <c r="R88" i="1" l="1"/>
  <c r="U88" i="1" l="1"/>
  <c r="V78" i="1"/>
  <c r="V88" i="1" l="1"/>
  <c r="R121" i="1" l="1"/>
  <c r="R120" i="1"/>
  <c r="O124" i="1"/>
  <c r="R124" i="1" l="1"/>
  <c r="G71" i="20" l="1"/>
  <c r="V121" i="1"/>
  <c r="Q137" i="1" l="1"/>
  <c r="R137" i="1"/>
  <c r="F74" i="20"/>
  <c r="U124" i="1"/>
  <c r="V120" i="1"/>
  <c r="K71" i="20" l="1"/>
  <c r="J74" i="20"/>
  <c r="V124" i="1"/>
  <c r="J106" i="20" l="1"/>
  <c r="K74" i="20"/>
  <c r="J107" i="20" l="1"/>
  <c r="K107" i="20" s="1"/>
  <c r="J110" i="20"/>
  <c r="K106" i="20"/>
  <c r="E8" i="20"/>
  <c r="E9" i="20"/>
  <c r="E10" i="20"/>
  <c r="O12" i="1"/>
  <c r="O21" i="1" s="1"/>
  <c r="E11" i="20"/>
  <c r="K110" i="20" l="1"/>
  <c r="J111" i="20"/>
  <c r="K111" i="20" s="1"/>
  <c r="E12" i="20"/>
  <c r="E21" i="20" s="1"/>
  <c r="O25" i="1"/>
  <c r="O28" i="1" l="1"/>
  <c r="O29" i="1" l="1"/>
  <c r="E24" i="20" l="1"/>
  <c r="R10" i="1"/>
  <c r="F10" i="20"/>
  <c r="G10" i="20" s="1"/>
  <c r="Q10" i="1"/>
  <c r="R11" i="1"/>
  <c r="Q11" i="1"/>
  <c r="F11" i="20"/>
  <c r="G11" i="20" s="1"/>
  <c r="R8" i="1"/>
  <c r="F8" i="20"/>
  <c r="G8" i="20" s="1"/>
  <c r="Q8" i="1"/>
  <c r="R9" i="1"/>
  <c r="F9" i="20"/>
  <c r="G9" i="20" s="1"/>
  <c r="P12" i="1"/>
  <c r="R12" i="1" s="1"/>
  <c r="Q9" i="1"/>
  <c r="Q12" i="1" l="1"/>
  <c r="Q21" i="1" s="1"/>
  <c r="F12" i="20"/>
  <c r="P21" i="1"/>
  <c r="R21" i="1" l="1"/>
  <c r="P25" i="1"/>
  <c r="F21" i="20"/>
  <c r="G12" i="20"/>
  <c r="G21" i="20" l="1"/>
  <c r="Q25" i="1"/>
  <c r="P28" i="1"/>
  <c r="Q28" i="1" l="1"/>
  <c r="Q29" i="1" s="1"/>
  <c r="P29" i="1"/>
  <c r="R29" i="1" l="1"/>
  <c r="F24" i="20"/>
  <c r="G24" i="20" l="1"/>
  <c r="O40" i="1"/>
  <c r="O74" i="1" s="1"/>
  <c r="E28" i="20"/>
  <c r="E35" i="20" s="1"/>
  <c r="E68" i="20" s="1"/>
  <c r="R33" i="1"/>
  <c r="F28" i="20"/>
  <c r="F35" i="20" s="1"/>
  <c r="P40" i="1"/>
  <c r="Q33" i="1"/>
  <c r="Q40" i="1" s="1"/>
  <c r="Q74" i="1" s="1"/>
  <c r="R40" i="1" l="1"/>
  <c r="G35" i="20"/>
  <c r="P74" i="1"/>
  <c r="R74" i="1" s="1"/>
  <c r="G28" i="20"/>
  <c r="F68" i="20"/>
  <c r="G68" i="20" l="1"/>
  <c r="F106" i="20"/>
  <c r="F110" i="20" s="1"/>
  <c r="F111" i="20" l="1"/>
  <c r="F107" i="20"/>
  <c r="E136" i="1"/>
  <c r="R93" i="1"/>
  <c r="P140" i="1"/>
  <c r="P172" i="1" s="1"/>
  <c r="I136" i="1"/>
  <c r="R136" i="1" l="1"/>
  <c r="Q136" i="1"/>
  <c r="Q139" i="1" s="1"/>
  <c r="O139" i="1"/>
  <c r="P173" i="1"/>
  <c r="R173" i="1" s="1"/>
  <c r="P176" i="1"/>
  <c r="O140" i="1" l="1"/>
  <c r="R139" i="1"/>
  <c r="P177" i="1"/>
  <c r="G72" i="20"/>
  <c r="E74" i="20"/>
  <c r="E106" i="20" l="1"/>
  <c r="G74" i="20"/>
  <c r="O172" i="1"/>
  <c r="R140" i="1"/>
  <c r="O173" i="1" l="1"/>
  <c r="O176" i="1"/>
  <c r="R172" i="1"/>
  <c r="E110" i="20"/>
  <c r="E107" i="20"/>
  <c r="G106" i="20"/>
  <c r="E111" i="20" l="1"/>
  <c r="G111" i="20" s="1"/>
  <c r="G110" i="20"/>
  <c r="Q176" i="1"/>
  <c r="O177" i="1"/>
  <c r="R176" i="1"/>
  <c r="Q177" i="1" l="1"/>
  <c r="R177" i="1"/>
  <c r="Q140" i="1"/>
  <c r="Q172" i="1" s="1"/>
  <c r="Q173" i="1" s="1"/>
  <c r="T140" i="1"/>
  <c r="T172" i="1" s="1"/>
  <c r="T176" i="1" l="1"/>
  <c r="T177" i="1" s="1"/>
  <c r="T173" i="1"/>
  <c r="V93" i="1"/>
  <c r="U140" i="1"/>
  <c r="U172" i="1" s="1"/>
  <c r="V172" i="1" s="1"/>
  <c r="V140" i="1" l="1"/>
  <c r="U176" i="1"/>
  <c r="V176" i="1" s="1"/>
  <c r="U173" i="1"/>
  <c r="V173" i="1" s="1"/>
  <c r="U177" i="1" l="1"/>
  <c r="V177" i="1" s="1"/>
</calcChain>
</file>

<file path=xl/comments1.xml><?xml version="1.0" encoding="utf-8"?>
<comments xmlns="http://schemas.openxmlformats.org/spreadsheetml/2006/main">
  <authors>
    <author>Jacobson, Dawn M.</author>
  </authors>
  <commentList>
    <comment ref="E72" authorId="0" shapeId="0">
      <text>
        <r>
          <rPr>
            <b/>
            <sz val="9"/>
            <color indexed="81"/>
            <rFont val="Tahoma"/>
            <family val="2"/>
          </rPr>
          <t>Jacobson, Dawn M.:</t>
        </r>
        <r>
          <rPr>
            <sz val="9"/>
            <color indexed="81"/>
            <rFont val="Tahoma"/>
            <family val="2"/>
          </rPr>
          <t xml:space="preserve">
Calc from Cheryl:
$17,880 Health
10% Pension
2.5% Disability
.8% Life
.7% Retiree Support</t>
        </r>
      </text>
    </comment>
  </commentList>
</comments>
</file>

<file path=xl/comments2.xml><?xml version="1.0" encoding="utf-8"?>
<comments xmlns="http://schemas.openxmlformats.org/spreadsheetml/2006/main">
  <authors>
    <author>Jacobson, Dawn M.</author>
  </authors>
  <commentList>
    <comment ref="P107" authorId="0" shapeId="0">
      <text>
        <r>
          <rPr>
            <b/>
            <sz val="9"/>
            <color indexed="81"/>
            <rFont val="Tahoma"/>
            <family val="2"/>
          </rPr>
          <t>Jacobson, Dawn M.:</t>
        </r>
        <r>
          <rPr>
            <sz val="9"/>
            <color indexed="81"/>
            <rFont val="Tahoma"/>
            <family val="2"/>
          </rPr>
          <t xml:space="preserve">
Calc from Cheryl</t>
        </r>
      </text>
    </comment>
  </commentList>
</comments>
</file>

<file path=xl/sharedStrings.xml><?xml version="1.0" encoding="utf-8"?>
<sst xmlns="http://schemas.openxmlformats.org/spreadsheetml/2006/main" count="332" uniqueCount="265">
  <si>
    <t>Income</t>
  </si>
  <si>
    <t>Envelope Giving</t>
  </si>
  <si>
    <t>Easter Offerings</t>
  </si>
  <si>
    <t>Thanksgiving Offerings</t>
  </si>
  <si>
    <t>Christmas Offerings</t>
  </si>
  <si>
    <t>Lenten Offerings</t>
  </si>
  <si>
    <t>Total Envelope Giving</t>
  </si>
  <si>
    <t>Misc Income</t>
  </si>
  <si>
    <t>Loose Offerings</t>
  </si>
  <si>
    <t>Special Appeal</t>
  </si>
  <si>
    <t>Total Misc Income</t>
  </si>
  <si>
    <t>Current Investment Income</t>
  </si>
  <si>
    <t>TOTAL INCOME</t>
  </si>
  <si>
    <t>Expenses</t>
  </si>
  <si>
    <t>Total Expected Income</t>
  </si>
  <si>
    <t>Line of Credit</t>
  </si>
  <si>
    <t>Line of Credit Interest</t>
  </si>
  <si>
    <t>Parish Ed</t>
  </si>
  <si>
    <t>Confirmation</t>
  </si>
  <si>
    <t>Vacation Bible School</t>
  </si>
  <si>
    <t>Library</t>
  </si>
  <si>
    <t>First Communion</t>
  </si>
  <si>
    <t>Total Parish Ed</t>
  </si>
  <si>
    <t>Worship Supplies</t>
  </si>
  <si>
    <t>Children's Services</t>
  </si>
  <si>
    <t>Flowers</t>
  </si>
  <si>
    <t>Youth</t>
  </si>
  <si>
    <t>Church &amp; Society</t>
  </si>
  <si>
    <t>Misc Programs</t>
  </si>
  <si>
    <t>Stewardship</t>
  </si>
  <si>
    <t>Envelopes, Giving</t>
  </si>
  <si>
    <t>Synod Assembly</t>
  </si>
  <si>
    <t>Evangelism</t>
  </si>
  <si>
    <t>Total Misc Programs</t>
  </si>
  <si>
    <t>Office Expense</t>
  </si>
  <si>
    <t>Office Supplies</t>
  </si>
  <si>
    <t>Postage</t>
  </si>
  <si>
    <t>Office Equipment/Computer</t>
  </si>
  <si>
    <t>Kitchen Supplies</t>
  </si>
  <si>
    <t>Bank Fees</t>
  </si>
  <si>
    <t>STAFF</t>
  </si>
  <si>
    <t>Total Office Expense</t>
  </si>
  <si>
    <t>Travel Allowance</t>
  </si>
  <si>
    <t>Pension/Insurance</t>
  </si>
  <si>
    <t>Supplemental Insurance</t>
  </si>
  <si>
    <t>Continuing Education</t>
  </si>
  <si>
    <t>Salary</t>
  </si>
  <si>
    <t>Travel Expense</t>
  </si>
  <si>
    <t>Youth Assistant</t>
  </si>
  <si>
    <t>Total Youth Director</t>
  </si>
  <si>
    <t>Dental Premium</t>
  </si>
  <si>
    <t>Music Staff</t>
  </si>
  <si>
    <t>Organist - subs</t>
  </si>
  <si>
    <t>Revelation Band</t>
  </si>
  <si>
    <t>Chancel Choir Director</t>
  </si>
  <si>
    <t>Youth Choir</t>
  </si>
  <si>
    <t>Total Music Staff</t>
  </si>
  <si>
    <t>Other Staff</t>
  </si>
  <si>
    <t>Total Other Staff</t>
  </si>
  <si>
    <t>Custodians</t>
  </si>
  <si>
    <t>Staff Development</t>
  </si>
  <si>
    <t>Church - FICA/MED</t>
  </si>
  <si>
    <t>Workers Compensation</t>
  </si>
  <si>
    <t>Supply Pastor Expenses</t>
  </si>
  <si>
    <t>TOTAL STAFF</t>
  </si>
  <si>
    <t>Facilities</t>
  </si>
  <si>
    <t>Utilities</t>
  </si>
  <si>
    <t>Program Expenses</t>
  </si>
  <si>
    <t>Electric</t>
  </si>
  <si>
    <t>Gas</t>
  </si>
  <si>
    <t>Telephone (and Internet)</t>
  </si>
  <si>
    <t>Water</t>
  </si>
  <si>
    <t>Security</t>
  </si>
  <si>
    <t>Cell Phone</t>
  </si>
  <si>
    <t>Total Utilities</t>
  </si>
  <si>
    <t>Church Maintenance</t>
  </si>
  <si>
    <t>Insurance</t>
  </si>
  <si>
    <t>Snow Removal</t>
  </si>
  <si>
    <t>Building Repairs</t>
  </si>
  <si>
    <t>Interest-Line of Credit</t>
  </si>
  <si>
    <t>Total Church Maintenance</t>
  </si>
  <si>
    <t>TOTAL FACILITIES</t>
  </si>
  <si>
    <t>Disbursements</t>
  </si>
  <si>
    <t>Restricted Funds</t>
  </si>
  <si>
    <t>Operating Fund Reserve</t>
  </si>
  <si>
    <t>Line of Credit Payment</t>
  </si>
  <si>
    <t>Total Restricted Funds</t>
  </si>
  <si>
    <t>TOTAL EXPENSES</t>
  </si>
  <si>
    <t>Income less Expense</t>
  </si>
  <si>
    <t>Sunday School</t>
  </si>
  <si>
    <t>Actual vs Budget</t>
  </si>
  <si>
    <t>Full Year</t>
  </si>
  <si>
    <t>Lutheran Church of the Resurrection</t>
  </si>
  <si>
    <t>Cradle Roll</t>
  </si>
  <si>
    <t>TOTAL PROGRAMS</t>
  </si>
  <si>
    <t>Total Church Membership</t>
  </si>
  <si>
    <t>Sunday Coffee</t>
  </si>
  <si>
    <t>Benevolence</t>
  </si>
  <si>
    <t>10% Benevolence</t>
  </si>
  <si>
    <t>Church Membership</t>
  </si>
  <si>
    <t>Clearing Account</t>
  </si>
  <si>
    <t>Church Membership Activities</t>
  </si>
  <si>
    <t>Financial Secretary</t>
  </si>
  <si>
    <t>Maint.  Supplies</t>
  </si>
  <si>
    <t>Salary Calc Estimate</t>
  </si>
  <si>
    <t>Staff Contingency</t>
  </si>
  <si>
    <t>Maintenance Contracts</t>
  </si>
  <si>
    <t>Other Benefits and taxes</t>
  </si>
  <si>
    <t>Non Staff costs</t>
  </si>
  <si>
    <t>Increase for Staff</t>
  </si>
  <si>
    <t>Increase for Music</t>
  </si>
  <si>
    <t>Total Staff</t>
  </si>
  <si>
    <t>City Assessment</t>
  </si>
  <si>
    <t>Tax Allowance</t>
  </si>
  <si>
    <t>Youth Choir Accompianist</t>
  </si>
  <si>
    <t>Business Expenses</t>
  </si>
  <si>
    <t>Adult Education</t>
  </si>
  <si>
    <t>Director of Communications</t>
  </si>
  <si>
    <t>Director of Traditional Worship</t>
  </si>
  <si>
    <t>Flutist and Extra Music</t>
  </si>
  <si>
    <t>Total adjusted Expected Income</t>
  </si>
  <si>
    <t>Total Director of Communications</t>
  </si>
  <si>
    <t>Misc Expenses</t>
  </si>
  <si>
    <t>$</t>
  </si>
  <si>
    <t>%</t>
  </si>
  <si>
    <t xml:space="preserve"> 2017 Budget Notes</t>
  </si>
  <si>
    <t>Deacon</t>
  </si>
  <si>
    <t>Projectionist</t>
  </si>
  <si>
    <t>Organ/Piano Maintenance</t>
  </si>
  <si>
    <t>Same as last year</t>
  </si>
  <si>
    <t>Sames as last year</t>
  </si>
  <si>
    <t>The Racine Interfaith Coalition advertising costs $250 but they give back $50.  The Committee would like to Donate the $50 back to RIC.</t>
  </si>
  <si>
    <t xml:space="preserve">Increase to align with all staff, recognize focus and key asset of Youth and the 15 years of exceptional service </t>
  </si>
  <si>
    <t>4 hours per week Sept-May (less Lent):   $10/hours at 4 hours per week for 40 weeks</t>
  </si>
  <si>
    <t>Adjust more in line for all staff positions</t>
  </si>
  <si>
    <r>
      <t xml:space="preserve">Decreased to reflect </t>
    </r>
    <r>
      <rPr>
        <b/>
        <u val="singleAccounting"/>
        <sz val="11"/>
        <rFont val="Calibri"/>
        <family val="2"/>
        <scheme val="minor"/>
      </rPr>
      <t>potential</t>
    </r>
    <r>
      <rPr>
        <sz val="11"/>
        <rFont val="Calibri"/>
        <family val="2"/>
        <scheme val="minor"/>
      </rPr>
      <t xml:space="preserve"> trend for future giving.</t>
    </r>
  </si>
  <si>
    <t>Aligned to be more comparable by level and responsibility:  Mark $12.85/hour at 15 hours/week, Del $11.25/hour at 7.5 hours/week, and Rebecca $10.90/hour at 17 hours/week.</t>
  </si>
  <si>
    <t>CLC Activities include:  Malaria breakfast, homeless activity, Souper Bowl of Caring</t>
  </si>
  <si>
    <t>(13 Confirmants) Gowns $450, Breakfast $350, Cake $50, Pictures $200, Flowers $100 and Gifts $250</t>
  </si>
  <si>
    <t>21 Students attended in 2016:  $400 Curriculum and $200 Materials</t>
  </si>
  <si>
    <t>The library purchases the Book Club choice and provides additional reading material for all ages.</t>
  </si>
  <si>
    <t>We did not have First Communion in 2016.  There will be a class in 2017 receiving First Communion.</t>
  </si>
  <si>
    <t>Deacon Janice coordinates this.</t>
  </si>
  <si>
    <t>This amount is not needed every year but we feel it needs to remain as a line item for when supplies do run low.  Luann Vacek is the contract person for this.</t>
  </si>
  <si>
    <t>Sames as last year.  Copy paper reduction.  Less announcements/printing, etc.  Per Janice, we will need additional color printing in 2017 for key communication</t>
  </si>
  <si>
    <t>Johnson Bank:  Banking &amp; Account Fees.  Vanco:  Auto-withdrawal of 22 giving units.  Could increase if more people give on-line</t>
  </si>
  <si>
    <t>Assumed 40 years old with 9-11 year experience (2nd or 3rd call pastor) - 2017 Synod Guidelines (Defined Compensation)</t>
  </si>
  <si>
    <t>Jay confirmed - no change</t>
  </si>
  <si>
    <t>Reimbursement for out-of pocket medical expenses that are not covered under spouse's medical insurance.  (Regular salary time only:  July - Dec)</t>
  </si>
  <si>
    <t>Dental Premium is not needed for 2017</t>
  </si>
  <si>
    <t>$24/week for Projection services (none during summer months). Assumed 23 Sundays</t>
  </si>
  <si>
    <t>7.65% of 2017 expected pay-related expenses.</t>
  </si>
  <si>
    <t>Updated by insurance carrier upon completion of annual August audit</t>
  </si>
  <si>
    <t>Light changes.  For 5 months ending Oct savings =$568 or 41% savings per month.</t>
  </si>
  <si>
    <t>Assumes pay off Line of Credit in 2016</t>
  </si>
  <si>
    <t>2016 purchased copier (reduced annual lease cost of $5,810) nearly $6k savings.  Possibly purchase computer for new Pastor and possibly will need a new projector.  Kim received new computer 11/2016 and Janice got a new printer.</t>
  </si>
  <si>
    <t xml:space="preserve">Jan - June:  Kara Baylor:  2 Sundays/month and some visitation ($200/Sunday for 13 Sundays - current supply  pastor rate).  Diane Tetrault:  Bible Study, Shut-ins and some preaching ($400 per month for 6 months) </t>
  </si>
  <si>
    <t>6 months of transition salary ($7,195.75) plus 6 months at 2016 rate.  Readdress in July Janice's pay</t>
  </si>
  <si>
    <t>2% increase:  (Current hourly rate of $14.42*(1+0.02) = $14.78/hour at 20 hours per week for 52 weeks (should cover any needed hours over 20 in business times).  Last year we assumed $14.28/hour for 17 hours at 52 weeks</t>
  </si>
  <si>
    <t>On budget of $702/month effective October 2016.  Currently saved $362.  Announced 16% increase in costs</t>
  </si>
  <si>
    <t>Annual Monitoring Fee is $21.95/month paid once a year….plus additional keys</t>
  </si>
  <si>
    <t>New phone was purchased for Dori in 2016 resulting in $137/month for Janice &amp; Dori (was $159/month).  Suggest additioan $80/month for new Pastor phone and $150 for new phone plus small additioanl for contingency and/or rate adjustment</t>
  </si>
  <si>
    <t>Nationwide:  Commercial Umbrella, Commercial Property, Crime and General Liability</t>
  </si>
  <si>
    <t>Something for Christmas services for the children</t>
  </si>
  <si>
    <t>Includes communion every Sunday (current year is running over budget).  Also, includes Lent and Advent Services.</t>
  </si>
  <si>
    <t>Assumed 40 years - Pension 10% 44 years or less, 11% 45 or over.  Health/Dental is (% of Defined Comp. $49k and $66k Per 2017 Synod Guidelines) is Member/Spouse 25%, M/S/Children 35%, and M/C 25%.  3% Disability, .3% Group Life &amp; $.7% Retiree Support</t>
  </si>
  <si>
    <t>Jay to check why Lynette has not been paid yet this year.</t>
  </si>
  <si>
    <t>2% increase</t>
  </si>
  <si>
    <t>2$ increase</t>
  </si>
  <si>
    <t>5% increase to align better the $ per service between 8am and 10am music services</t>
  </si>
  <si>
    <t>Same as 2016</t>
  </si>
  <si>
    <t>Facilities Fund Reserve</t>
  </si>
  <si>
    <t>Worship</t>
  </si>
  <si>
    <t>Total Worship</t>
  </si>
  <si>
    <t>Total Deacon</t>
  </si>
  <si>
    <t>Senior Pastor</t>
  </si>
  <si>
    <t>Total Senior Pastor</t>
  </si>
  <si>
    <t>Facilities Maintenance</t>
  </si>
  <si>
    <t>Holden and Hymn Services</t>
  </si>
  <si>
    <t>As requested.</t>
  </si>
  <si>
    <t>Possibly purchase computer for new Pastor.  Kim received new computer 11/2016 and Janice got a new printer also.</t>
  </si>
  <si>
    <t>Johnson Bank:  Banking &amp; Account Fees.  Vanco:  Auto-withdrawal of 22 giving units.  Could increase if more people give on-line.  2018 will be moved to ECU.</t>
  </si>
  <si>
    <t>Operating Expenses</t>
  </si>
  <si>
    <t>Band Subs</t>
  </si>
  <si>
    <t>Nationwide:  Commercial Umbrella, Commercial Property, Crime and General Liability.  Annual premium confirmed by Jay W. for 2018</t>
  </si>
  <si>
    <t>Confirmed by Jay W. for 2018</t>
  </si>
  <si>
    <t>Dori Rossmann</t>
  </si>
  <si>
    <t>J. Sodke</t>
  </si>
  <si>
    <t>J. Sensig</t>
  </si>
  <si>
    <t>Dee Bliss</t>
  </si>
  <si>
    <t>Lynette Jacobson</t>
  </si>
  <si>
    <t>Chuck Petrach</t>
  </si>
  <si>
    <t>% chg</t>
  </si>
  <si>
    <t>Avg Hrs/Wk</t>
  </si>
  <si>
    <t>$/hr</t>
  </si>
  <si>
    <t>Hourly</t>
  </si>
  <si>
    <t>Budget Year</t>
  </si>
  <si>
    <t># Wk/Yr</t>
  </si>
  <si>
    <t>$200/Sunday for 10 weeks</t>
  </si>
  <si>
    <t>Parish Secretary</t>
  </si>
  <si>
    <t>Target is to have expenses no greater than the estimated envelope giving.</t>
  </si>
  <si>
    <t>Requested was $3,000 for new curriculum being order (over 2 years) $1,200, Carnival $300, Bibles $150, Christmas Program $350, and CLC $1,000.</t>
  </si>
  <si>
    <t>Requested was $1,400 for 13 Confirmants:  Gowns $450, Breakfast $350, Cake $50, Pictures $200, Flowers $100, and gifts $250.  In 2017, there were only 6 confirmants.</t>
  </si>
  <si>
    <t>Requested was Materials $400</t>
  </si>
  <si>
    <t>Requested was $6,000</t>
  </si>
  <si>
    <t>Requested was $500 for Books $350 and DVDs $150</t>
  </si>
  <si>
    <t>Requested was $600 for Curriculum $400 and Materials $200</t>
  </si>
  <si>
    <t>Requested was $400 for Cake/Materials $100 and Curriculum $300. Suggested cake is not needed.</t>
  </si>
  <si>
    <t>Requested was $2,000.  No longer having Saturday night service.</t>
  </si>
  <si>
    <t>Requested was $200 for something for Christmas services for the children.</t>
  </si>
  <si>
    <t>As requested due to Houston Trip - more kids and chaperions (25)</t>
  </si>
  <si>
    <t>Requested $300 for Racine Interfaith Coalition advertising of $250.  RIC gives back $50 to LCR.  Committee donates the $50 back to RIC (this should come from benevolence funds).  Plus $50 for refreshments at Veterans program (suggest stopping this).</t>
  </si>
  <si>
    <t>Director of Youth Ministry</t>
  </si>
  <si>
    <t>Lead Pastor</t>
  </si>
  <si>
    <t>Lead Pastor, Deacon and Dori have cell phones.</t>
  </si>
  <si>
    <t>We are in 3rd year of a 5 year contract with TDS.</t>
  </si>
  <si>
    <t>Pest Control, Elevator check, garbage disposal, Windows Cleaned ($892 2 times a year).  Will start cleaning windows in Spring only.</t>
  </si>
  <si>
    <t>Must have $7,500 for general wear/tear.  Also asked the Narthex carpet in 2018 ("bump" is pronounced and safety/liability concern) using the separate account ($12-15k) and resealing parking lot in 2019 ($10-12k).  Amounts are estimates.</t>
  </si>
  <si>
    <t>Operating Income (Envelope Giving)</t>
  </si>
  <si>
    <t>Net Operating Income/(Loss)</t>
  </si>
  <si>
    <t>Communications Secretary (Temporary)</t>
  </si>
  <si>
    <t>2018:  Lower per Deacon Janice's recommendation (email 11/14/17)</t>
  </si>
  <si>
    <t>Need to add this back</t>
  </si>
  <si>
    <t>Assumes 3 people (including Pastor)</t>
  </si>
  <si>
    <t>Synod Base</t>
  </si>
  <si>
    <t>Housing</t>
  </si>
  <si>
    <t>Elected</t>
  </si>
  <si>
    <t>Total</t>
  </si>
  <si>
    <t>Per Compensation Package</t>
  </si>
  <si>
    <t>Per Compensation Package.  This excludes the $500 that is included for Sysnod Assembly (budgeted under Misc Programs)</t>
  </si>
  <si>
    <t xml:space="preserve">Per Compensation Package.     </t>
  </si>
  <si>
    <t>Pension</t>
  </si>
  <si>
    <t>Other Insurance</t>
  </si>
  <si>
    <t>Medical &amp; Dental Insurance</t>
  </si>
  <si>
    <t>Start January 16, 2018</t>
  </si>
  <si>
    <t>Disability</t>
  </si>
  <si>
    <t>Group Life</t>
  </si>
  <si>
    <t>Retiree</t>
  </si>
  <si>
    <t>For 2018, Pastor Pahl has choosen to waive both Medical and Dental coverage.</t>
  </si>
  <si>
    <t>This is not part of Pastor's Package or Synod guidelines.</t>
  </si>
  <si>
    <t>Medical/Dental premium
     Allowance</t>
  </si>
  <si>
    <t>Per Compensation Package, this is the premium that Pastor needs to pay for herself and her daughter to be covered under her husbands insurance.  This is grossed up using 25% per the compensation package.  Documentation is needed each year.</t>
  </si>
  <si>
    <t>FICA</t>
  </si>
  <si>
    <t>Synod COLA</t>
  </si>
  <si>
    <t>Includes Base Salary, Housing, FICA (Church Share only), and Premium Allowance</t>
  </si>
  <si>
    <t>Disability, Group Life, and Retiree Support</t>
  </si>
  <si>
    <t>Salary and Housing</t>
  </si>
  <si>
    <t>Nov YTD Actual</t>
  </si>
  <si>
    <t>Nov YTD Budget</t>
  </si>
  <si>
    <t>As requested.  2017 actuals includes $200 for Prof Faith Harpci for 4 Muslim Faith sessons, and about net of $400 for CPR training ($545 for training less $145 reimbursements)</t>
  </si>
  <si>
    <t>Pianos in Choir Room, Fellowship Hall, Educ. Room, and Loft tuned 1/year; Sanctuary tuned 2/year ($80/each) total $480/year.  Organ $800 every 2 years.  Excludes unforeseen maintenance.  2017 spend includes tuning for organ and several pianos.</t>
  </si>
  <si>
    <t>2017 is over spent.  New Coffee Maker at $105 was part. They need to stay at budget.</t>
  </si>
  <si>
    <t>J. Nelson plus others.</t>
  </si>
  <si>
    <t>2018:  25% of the year substitute for Revelation Band.  Includes 2% increase.</t>
  </si>
  <si>
    <t>2017 was 11% for Pension, in 2018 it is 12% plus Disability, Basic Group Life and Retiree Support.</t>
  </si>
  <si>
    <t>% of Year</t>
  </si>
  <si>
    <t>Insurance Provision</t>
  </si>
  <si>
    <t>True Emergency issues.  Approved by Executive Council only (Communicate with Finance Committee aftwards)</t>
  </si>
  <si>
    <t>Operating Expenses unexpectedly exceed Income (Income shortfall).  Finance Committee approves and takes recommendation to the Excutive Council.</t>
  </si>
  <si>
    <t>Large Building and grounds needs for facility up-keep.  Finance Committee Aprpoves and takes recommedation to the Council BEFORE Spending can occur.</t>
  </si>
  <si>
    <t>Unforeseen Health Care changes.  Finance Committee Approves and takes recommendation to the Executive Council.</t>
  </si>
  <si>
    <t>Supply Pastor(s)</t>
  </si>
  <si>
    <t>Total Supply Pastor(s)</t>
  </si>
  <si>
    <t>Staff Salary and Wages*</t>
  </si>
  <si>
    <t>*    Includes salary increases which will be distributed based on annual performance reviews.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</si>
</sst>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_(&quot;$&quot;* #,##0.000_);_(&quot;$&quot;* \(#,##0.000\);_(&quot;$&quot;* &quot;-&quot;??_);_(@_)"/>
    <numFmt numFmtId="167" formatCode="_(* #,##0_);_(* \(#,##0\);_(* &quot;-&quot;??_);_(@_)"/>
    <numFmt numFmtId="168" formatCode="0_);\(0\)"/>
    <numFmt numFmtId="169" formatCode="#,##0.0_);\(#,##0.0\)"/>
    <numFmt numFmtId="170" formatCode="0.00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F8F8F8"/>
      <name val="Calibri"/>
      <family val="2"/>
      <scheme val="minor"/>
    </font>
    <font>
      <sz val="11"/>
      <color rgb="FF0000FF"/>
      <name val="Calibri"/>
      <family val="2"/>
      <scheme val="minor"/>
    </font>
    <font>
      <sz val="12"/>
      <name val="Garamond"/>
      <family val="1"/>
    </font>
    <font>
      <b/>
      <u val="singleAccounting"/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8">
    <xf numFmtId="0" fontId="0" fillId="0" borderId="0" xfId="0"/>
    <xf numFmtId="164" fontId="0" fillId="0" borderId="0" xfId="1" applyNumberFormat="1" applyFont="1" applyAlignment="1">
      <alignment vertical="center"/>
    </xf>
    <xf numFmtId="164" fontId="2" fillId="0" borderId="1" xfId="1" applyNumberFormat="1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wrapText="1"/>
    </xf>
    <xf numFmtId="164" fontId="2" fillId="0" borderId="0" xfId="1" applyNumberFormat="1" applyFont="1" applyAlignment="1">
      <alignment vertical="center"/>
    </xf>
    <xf numFmtId="164" fontId="3" fillId="0" borderId="0" xfId="1" applyNumberFormat="1" applyFont="1" applyAlignment="1">
      <alignment vertical="center"/>
    </xf>
    <xf numFmtId="165" fontId="0" fillId="0" borderId="0" xfId="2" applyNumberFormat="1" applyFont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164" fontId="2" fillId="0" borderId="7" xfId="1" applyNumberFormat="1" applyFont="1" applyBorder="1" applyAlignment="1">
      <alignment horizontal="center" vertical="center" wrapText="1"/>
    </xf>
    <xf numFmtId="164" fontId="5" fillId="0" borderId="0" xfId="1" applyNumberFormat="1" applyFont="1" applyAlignment="1">
      <alignment vertical="center"/>
    </xf>
    <xf numFmtId="166" fontId="2" fillId="0" borderId="0" xfId="1" applyNumberFormat="1" applyFont="1" applyBorder="1" applyAlignment="1">
      <alignment horizontal="center" vertical="center" wrapText="1"/>
    </xf>
    <xf numFmtId="164" fontId="2" fillId="0" borderId="0" xfId="1" applyNumberFormat="1" applyFont="1" applyBorder="1" applyAlignment="1">
      <alignment horizontal="center" vertical="center" wrapText="1"/>
    </xf>
    <xf numFmtId="164" fontId="2" fillId="2" borderId="0" xfId="1" applyNumberFormat="1" applyFont="1" applyFill="1" applyAlignment="1">
      <alignment vertical="center"/>
    </xf>
    <xf numFmtId="165" fontId="2" fillId="2" borderId="0" xfId="2" applyNumberFormat="1" applyFont="1" applyFill="1" applyAlignment="1">
      <alignment horizontal="center" vertical="center"/>
    </xf>
    <xf numFmtId="164" fontId="2" fillId="8" borderId="0" xfId="1" applyNumberFormat="1" applyFont="1" applyFill="1" applyAlignment="1">
      <alignment vertical="center"/>
    </xf>
    <xf numFmtId="164" fontId="2" fillId="8" borderId="0" xfId="1" quotePrefix="1" applyNumberFormat="1" applyFont="1" applyFill="1" applyAlignment="1">
      <alignment vertical="center"/>
    </xf>
    <xf numFmtId="165" fontId="2" fillId="8" borderId="0" xfId="2" applyNumberFormat="1" applyFont="1" applyFill="1" applyAlignment="1">
      <alignment horizontal="center" vertical="center"/>
    </xf>
    <xf numFmtId="164" fontId="2" fillId="0" borderId="0" xfId="1" applyNumberFormat="1" applyFont="1" applyFill="1" applyAlignment="1">
      <alignment vertical="center"/>
    </xf>
    <xf numFmtId="164" fontId="2" fillId="0" borderId="0" xfId="1" quotePrefix="1" applyNumberFormat="1" applyFont="1" applyFill="1" applyAlignment="1">
      <alignment vertical="center"/>
    </xf>
    <xf numFmtId="164" fontId="4" fillId="0" borderId="0" xfId="1" applyNumberFormat="1" applyFont="1" applyFill="1" applyAlignment="1">
      <alignment vertical="center"/>
    </xf>
    <xf numFmtId="165" fontId="2" fillId="0" borderId="0" xfId="2" applyNumberFormat="1" applyFont="1" applyFill="1" applyAlignment="1">
      <alignment horizontal="center" vertical="center"/>
    </xf>
    <xf numFmtId="164" fontId="5" fillId="0" borderId="0" xfId="1" applyNumberFormat="1" applyFont="1" applyFill="1" applyAlignment="1">
      <alignment vertical="center"/>
    </xf>
    <xf numFmtId="164" fontId="2" fillId="3" borderId="0" xfId="1" applyNumberFormat="1" applyFont="1" applyFill="1" applyAlignment="1">
      <alignment vertical="center"/>
    </xf>
    <xf numFmtId="165" fontId="2" fillId="3" borderId="0" xfId="2" applyNumberFormat="1" applyFont="1" applyFill="1" applyAlignment="1">
      <alignment horizontal="center" vertical="center"/>
    </xf>
    <xf numFmtId="164" fontId="0" fillId="3" borderId="0" xfId="1" applyNumberFormat="1" applyFont="1" applyFill="1" applyAlignment="1">
      <alignment vertical="center"/>
    </xf>
    <xf numFmtId="164" fontId="1" fillId="3" borderId="0" xfId="1" applyNumberFormat="1" applyFont="1" applyFill="1" applyAlignment="1">
      <alignment vertical="center"/>
    </xf>
    <xf numFmtId="164" fontId="2" fillId="4" borderId="0" xfId="1" applyNumberFormat="1" applyFont="1" applyFill="1" applyAlignment="1">
      <alignment vertical="center"/>
    </xf>
    <xf numFmtId="165" fontId="2" fillId="4" borderId="0" xfId="2" applyNumberFormat="1" applyFont="1" applyFill="1" applyAlignment="1">
      <alignment horizontal="center" vertical="center"/>
    </xf>
    <xf numFmtId="44" fontId="0" fillId="0" borderId="0" xfId="1" applyNumberFormat="1" applyFont="1" applyAlignment="1">
      <alignment vertical="center"/>
    </xf>
    <xf numFmtId="164" fontId="2" fillId="5" borderId="0" xfId="1" applyNumberFormat="1" applyFont="1" applyFill="1" applyAlignment="1">
      <alignment vertical="center"/>
    </xf>
    <xf numFmtId="165" fontId="2" fillId="5" borderId="0" xfId="2" applyNumberFormat="1" applyFont="1" applyFill="1" applyAlignment="1">
      <alignment horizontal="center" vertical="center"/>
    </xf>
    <xf numFmtId="164" fontId="2" fillId="6" borderId="0" xfId="1" applyNumberFormat="1" applyFont="1" applyFill="1" applyAlignment="1">
      <alignment vertical="center"/>
    </xf>
    <xf numFmtId="165" fontId="2" fillId="6" borderId="0" xfId="2" applyNumberFormat="1" applyFont="1" applyFill="1" applyAlignment="1">
      <alignment horizontal="center" vertical="center"/>
    </xf>
    <xf numFmtId="164" fontId="2" fillId="7" borderId="0" xfId="1" applyNumberFormat="1" applyFont="1" applyFill="1" applyAlignment="1">
      <alignment vertical="center"/>
    </xf>
    <xf numFmtId="164" fontId="0" fillId="7" borderId="0" xfId="1" applyNumberFormat="1" applyFont="1" applyFill="1" applyAlignment="1">
      <alignment vertical="center"/>
    </xf>
    <xf numFmtId="165" fontId="2" fillId="7" borderId="0" xfId="2" applyNumberFormat="1" applyFont="1" applyFill="1" applyAlignment="1">
      <alignment horizontal="center" vertical="center"/>
    </xf>
    <xf numFmtId="165" fontId="2" fillId="4" borderId="0" xfId="2" applyNumberFormat="1" applyFont="1" applyFill="1" applyAlignment="1">
      <alignment horizontal="left" vertical="center"/>
    </xf>
    <xf numFmtId="9" fontId="9" fillId="0" borderId="0" xfId="2" applyFont="1" applyAlignment="1">
      <alignment vertical="center"/>
    </xf>
    <xf numFmtId="164" fontId="0" fillId="0" borderId="0" xfId="1" applyNumberFormat="1" applyFont="1" applyAlignment="1">
      <alignment horizontal="center" vertical="center" wrapText="1"/>
    </xf>
    <xf numFmtId="164" fontId="2" fillId="3" borderId="0" xfId="1" applyNumberFormat="1" applyFont="1" applyFill="1" applyAlignment="1">
      <alignment vertical="center"/>
    </xf>
    <xf numFmtId="164" fontId="9" fillId="0" borderId="0" xfId="1" applyNumberFormat="1" applyFont="1" applyAlignment="1">
      <alignment vertical="center"/>
    </xf>
    <xf numFmtId="164" fontId="2" fillId="0" borderId="2" xfId="1" applyNumberFormat="1" applyFont="1" applyBorder="1" applyAlignment="1">
      <alignment horizontal="center" vertical="center" wrapText="1"/>
    </xf>
    <xf numFmtId="164" fontId="0" fillId="0" borderId="0" xfId="1" applyNumberFormat="1" applyFont="1" applyAlignment="1">
      <alignment horizontal="center" vertical="center"/>
    </xf>
    <xf numFmtId="164" fontId="2" fillId="0" borderId="0" xfId="1" applyNumberFormat="1" applyFont="1" applyBorder="1" applyAlignment="1">
      <alignment horizontal="center" vertical="center" wrapText="1"/>
    </xf>
    <xf numFmtId="164" fontId="2" fillId="0" borderId="8" xfId="1" applyNumberFormat="1" applyFont="1" applyBorder="1" applyAlignment="1">
      <alignment horizontal="center" vertical="center" wrapText="1"/>
    </xf>
    <xf numFmtId="0" fontId="11" fillId="0" borderId="0" xfId="0" applyFont="1"/>
    <xf numFmtId="0" fontId="12" fillId="2" borderId="0" xfId="0" applyFont="1" applyFill="1" applyAlignment="1">
      <alignment horizontal="center"/>
    </xf>
    <xf numFmtId="37" fontId="0" fillId="0" borderId="0" xfId="3" applyNumberFormat="1" applyFont="1" applyAlignment="1">
      <alignment horizontal="center" vertical="center"/>
    </xf>
    <xf numFmtId="37" fontId="2" fillId="0" borderId="0" xfId="3" applyNumberFormat="1" applyFont="1" applyAlignment="1">
      <alignment horizontal="center" vertical="center"/>
    </xf>
    <xf numFmtId="164" fontId="10" fillId="3" borderId="0" xfId="1" applyNumberFormat="1" applyFont="1" applyFill="1" applyAlignment="1">
      <alignment vertical="center"/>
    </xf>
    <xf numFmtId="164" fontId="2" fillId="0" borderId="9" xfId="1" applyNumberFormat="1" applyFont="1" applyBorder="1" applyAlignment="1">
      <alignment horizontal="center" vertical="center" wrapText="1"/>
    </xf>
    <xf numFmtId="164" fontId="2" fillId="0" borderId="10" xfId="1" applyNumberFormat="1" applyFont="1" applyBorder="1" applyAlignment="1">
      <alignment horizontal="center" vertical="center" wrapText="1"/>
    </xf>
    <xf numFmtId="164" fontId="0" fillId="0" borderId="0" xfId="1" applyNumberFormat="1" applyFont="1" applyAlignment="1">
      <alignment horizontal="left" vertical="center" wrapText="1"/>
    </xf>
    <xf numFmtId="165" fontId="13" fillId="7" borderId="0" xfId="2" applyNumberFormat="1" applyFont="1" applyFill="1" applyAlignment="1">
      <alignment horizontal="center" vertical="center"/>
    </xf>
    <xf numFmtId="165" fontId="0" fillId="0" borderId="0" xfId="2" applyNumberFormat="1" applyFont="1" applyAlignment="1">
      <alignment vertical="center"/>
    </xf>
    <xf numFmtId="43" fontId="0" fillId="0" borderId="0" xfId="3" applyFont="1" applyAlignment="1">
      <alignment vertical="center"/>
    </xf>
    <xf numFmtId="164" fontId="16" fillId="0" borderId="0" xfId="1" applyNumberFormat="1" applyFont="1" applyAlignment="1">
      <alignment vertical="center"/>
    </xf>
    <xf numFmtId="164" fontId="15" fillId="8" borderId="0" xfId="1" applyNumberFormat="1" applyFont="1" applyFill="1" applyAlignment="1">
      <alignment vertical="center"/>
    </xf>
    <xf numFmtId="164" fontId="9" fillId="0" borderId="0" xfId="1" applyNumberFormat="1" applyFont="1" applyAlignment="1">
      <alignment horizontal="center" vertical="center" wrapText="1"/>
    </xf>
    <xf numFmtId="164" fontId="15" fillId="3" borderId="0" xfId="1" applyNumberFormat="1" applyFont="1" applyFill="1" applyAlignment="1">
      <alignment vertical="center"/>
    </xf>
    <xf numFmtId="164" fontId="15" fillId="0" borderId="8" xfId="1" applyNumberFormat="1" applyFont="1" applyBorder="1" applyAlignment="1">
      <alignment horizontal="center" vertical="center" wrapText="1"/>
    </xf>
    <xf numFmtId="164" fontId="0" fillId="0" borderId="0" xfId="1" applyNumberFormat="1" applyFont="1" applyFill="1" applyAlignment="1">
      <alignment vertical="center"/>
    </xf>
    <xf numFmtId="164" fontId="15" fillId="0" borderId="3" xfId="1" applyNumberFormat="1" applyFont="1" applyBorder="1" applyAlignment="1">
      <alignment horizontal="center" vertical="center" wrapText="1"/>
    </xf>
    <xf numFmtId="164" fontId="17" fillId="0" borderId="0" xfId="1" applyNumberFormat="1" applyFont="1" applyAlignment="1">
      <alignment vertical="center"/>
    </xf>
    <xf numFmtId="164" fontId="17" fillId="3" borderId="0" xfId="1" applyNumberFormat="1" applyFont="1" applyFill="1" applyAlignment="1">
      <alignment vertical="center"/>
    </xf>
    <xf numFmtId="164" fontId="17" fillId="0" borderId="0" xfId="1" applyNumberFormat="1" applyFont="1" applyFill="1" applyAlignment="1">
      <alignment vertical="center"/>
    </xf>
    <xf numFmtId="164" fontId="0" fillId="0" borderId="0" xfId="1" applyNumberFormat="1" applyFont="1" applyAlignment="1">
      <alignment horizontal="left" vertical="center" wrapText="1"/>
    </xf>
    <xf numFmtId="164" fontId="2" fillId="0" borderId="7" xfId="1" applyNumberFormat="1" applyFont="1" applyBorder="1" applyAlignment="1">
      <alignment horizontal="left" vertical="center" wrapText="1"/>
    </xf>
    <xf numFmtId="164" fontId="2" fillId="0" borderId="0" xfId="1" applyNumberFormat="1" applyFont="1" applyAlignment="1">
      <alignment horizontal="left" vertical="center" wrapText="1"/>
    </xf>
    <xf numFmtId="164" fontId="9" fillId="0" borderId="0" xfId="1" applyNumberFormat="1" applyFont="1" applyAlignment="1">
      <alignment horizontal="left" vertical="center" wrapText="1"/>
    </xf>
    <xf numFmtId="164" fontId="14" fillId="0" borderId="0" xfId="1" applyNumberFormat="1" applyFont="1" applyAlignment="1">
      <alignment horizontal="left" vertical="center" wrapText="1"/>
    </xf>
    <xf numFmtId="164" fontId="10" fillId="0" borderId="0" xfId="1" applyNumberFormat="1" applyFont="1" applyAlignment="1">
      <alignment horizontal="left" vertical="center" wrapText="1"/>
    </xf>
    <xf numFmtId="164" fontId="13" fillId="0" borderId="0" xfId="1" applyNumberFormat="1" applyFont="1" applyAlignment="1">
      <alignment horizontal="left" vertical="center" wrapText="1"/>
    </xf>
    <xf numFmtId="164" fontId="9" fillId="0" borderId="0" xfId="1" applyNumberFormat="1" applyFont="1" applyFill="1" applyAlignment="1">
      <alignment horizontal="left" vertical="center" wrapText="1"/>
    </xf>
    <xf numFmtId="0" fontId="18" fillId="0" borderId="0" xfId="0" applyFont="1" applyAlignment="1">
      <alignment horizontal="left"/>
    </xf>
    <xf numFmtId="164" fontId="9" fillId="10" borderId="0" xfId="1" applyNumberFormat="1" applyFont="1" applyFill="1" applyAlignment="1">
      <alignment horizontal="left" vertical="center" wrapText="1"/>
    </xf>
    <xf numFmtId="164" fontId="9" fillId="0" borderId="0" xfId="1" quotePrefix="1" applyNumberFormat="1" applyFont="1" applyAlignment="1">
      <alignment horizontal="left" vertical="center" wrapText="1"/>
    </xf>
    <xf numFmtId="164" fontId="9" fillId="0" borderId="0" xfId="1" quotePrefix="1" applyNumberFormat="1" applyFont="1" applyFill="1" applyAlignment="1">
      <alignment horizontal="left" vertical="center" wrapText="1"/>
    </xf>
    <xf numFmtId="164" fontId="14" fillId="0" borderId="0" xfId="1" applyNumberFormat="1" applyFont="1" applyAlignment="1">
      <alignment horizontal="left" vertical="center"/>
    </xf>
    <xf numFmtId="164" fontId="0" fillId="0" borderId="0" xfId="1" applyNumberFormat="1" applyFont="1" applyAlignment="1">
      <alignment horizontal="left" vertical="center"/>
    </xf>
    <xf numFmtId="44" fontId="9" fillId="0" borderId="0" xfId="1" quotePrefix="1" applyNumberFormat="1" applyFont="1" applyFill="1" applyAlignment="1">
      <alignment horizontal="left" vertical="center" wrapText="1"/>
    </xf>
    <xf numFmtId="164" fontId="1" fillId="0" borderId="0" xfId="1" applyNumberFormat="1" applyFont="1" applyAlignment="1">
      <alignment horizontal="left" vertical="center" wrapText="1"/>
    </xf>
    <xf numFmtId="13" fontId="0" fillId="0" borderId="0" xfId="1" applyNumberFormat="1" applyFont="1" applyAlignment="1">
      <alignment vertical="center"/>
    </xf>
    <xf numFmtId="164" fontId="1" fillId="0" borderId="0" xfId="1" applyNumberFormat="1" applyFont="1" applyAlignment="1">
      <alignment vertical="center"/>
    </xf>
    <xf numFmtId="164" fontId="9" fillId="9" borderId="0" xfId="1" applyNumberFormat="1" applyFont="1" applyFill="1" applyAlignment="1">
      <alignment horizontal="left" vertical="center" wrapText="1"/>
    </xf>
    <xf numFmtId="164" fontId="9" fillId="0" borderId="0" xfId="1" applyNumberFormat="1" applyFont="1" applyFill="1" applyAlignment="1">
      <alignment vertical="center"/>
    </xf>
    <xf numFmtId="164" fontId="0" fillId="0" borderId="0" xfId="1" applyNumberFormat="1" applyFont="1" applyAlignment="1">
      <alignment horizontal="left" vertical="center" wrapText="1"/>
    </xf>
    <xf numFmtId="164" fontId="2" fillId="0" borderId="0" xfId="1" applyNumberFormat="1" applyFont="1" applyFill="1" applyAlignment="1">
      <alignment horizontal="left" vertical="center" wrapText="1"/>
    </xf>
    <xf numFmtId="164" fontId="0" fillId="0" borderId="0" xfId="1" applyNumberFormat="1" applyFont="1" applyFill="1" applyAlignment="1">
      <alignment horizontal="left" vertical="center" wrapText="1"/>
    </xf>
    <xf numFmtId="164" fontId="14" fillId="0" borderId="0" xfId="1" applyNumberFormat="1" applyFont="1" applyFill="1" applyAlignment="1">
      <alignment horizontal="left" vertical="center" wrapText="1"/>
    </xf>
    <xf numFmtId="164" fontId="10" fillId="0" borderId="0" xfId="1" applyNumberFormat="1" applyFont="1" applyFill="1" applyAlignment="1">
      <alignment horizontal="left" vertical="center" wrapText="1"/>
    </xf>
    <xf numFmtId="164" fontId="13" fillId="0" borderId="0" xfId="1" applyNumberFormat="1" applyFont="1" applyFill="1" applyAlignment="1">
      <alignment horizontal="left" vertical="center" wrapText="1"/>
    </xf>
    <xf numFmtId="0" fontId="18" fillId="0" borderId="0" xfId="0" applyFont="1" applyFill="1" applyAlignment="1">
      <alignment horizontal="left"/>
    </xf>
    <xf numFmtId="164" fontId="1" fillId="0" borderId="0" xfId="1" applyNumberFormat="1" applyFont="1" applyFill="1" applyAlignment="1">
      <alignment horizontal="left" vertical="center" wrapText="1"/>
    </xf>
    <xf numFmtId="44" fontId="0" fillId="0" borderId="0" xfId="1" applyNumberFormat="1" applyFont="1" applyFill="1" applyAlignment="1">
      <alignment vertical="center"/>
    </xf>
    <xf numFmtId="164" fontId="0" fillId="0" borderId="0" xfId="1" applyNumberFormat="1" applyFont="1" applyAlignment="1">
      <alignment vertical="center" wrapText="1"/>
    </xf>
    <xf numFmtId="164" fontId="17" fillId="0" borderId="0" xfId="1" applyNumberFormat="1" applyFont="1" applyFill="1" applyBorder="1" applyAlignment="1">
      <alignment vertical="center"/>
    </xf>
    <xf numFmtId="166" fontId="0" fillId="0" borderId="0" xfId="1" applyNumberFormat="1" applyFont="1" applyAlignment="1">
      <alignment vertical="center"/>
    </xf>
    <xf numFmtId="164" fontId="2" fillId="9" borderId="0" xfId="1" applyNumberFormat="1" applyFont="1" applyFill="1" applyAlignment="1">
      <alignment horizontal="center" vertical="center" wrapText="1"/>
    </xf>
    <xf numFmtId="164" fontId="0" fillId="0" borderId="0" xfId="1" applyNumberFormat="1" applyFont="1" applyFill="1" applyAlignment="1">
      <alignment horizontal="center" vertical="center"/>
    </xf>
    <xf numFmtId="164" fontId="2" fillId="0" borderId="0" xfId="1" applyNumberFormat="1" applyFont="1" applyFill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164" fontId="2" fillId="2" borderId="0" xfId="1" applyNumberFormat="1" applyFont="1" applyFill="1" applyAlignment="1">
      <alignment horizontal="center" vertical="center"/>
    </xf>
    <xf numFmtId="164" fontId="2" fillId="8" borderId="0" xfId="1" quotePrefix="1" applyNumberFormat="1" applyFont="1" applyFill="1" applyAlignment="1">
      <alignment horizontal="center" vertical="center"/>
    </xf>
    <xf numFmtId="164" fontId="2" fillId="8" borderId="0" xfId="1" applyNumberFormat="1" applyFont="1" applyFill="1" applyAlignment="1">
      <alignment horizontal="center" vertical="center"/>
    </xf>
    <xf numFmtId="164" fontId="2" fillId="3" borderId="0" xfId="1" applyNumberFormat="1" applyFont="1" applyFill="1" applyAlignment="1">
      <alignment horizontal="center" vertical="center"/>
    </xf>
    <xf numFmtId="164" fontId="0" fillId="3" borderId="0" xfId="1" applyNumberFormat="1" applyFont="1" applyFill="1" applyAlignment="1">
      <alignment horizontal="center" vertical="center"/>
    </xf>
    <xf numFmtId="165" fontId="15" fillId="9" borderId="0" xfId="2" applyNumberFormat="1" applyFont="1" applyFill="1" applyAlignment="1">
      <alignment horizontal="center" vertical="center" wrapText="1"/>
    </xf>
    <xf numFmtId="164" fontId="16" fillId="0" borderId="0" xfId="1" applyNumberFormat="1" applyFont="1" applyAlignment="1">
      <alignment horizontal="center" vertical="center"/>
    </xf>
    <xf numFmtId="9" fontId="0" fillId="0" borderId="0" xfId="2" applyFont="1" applyAlignment="1">
      <alignment horizontal="center" vertical="center"/>
    </xf>
    <xf numFmtId="164" fontId="2" fillId="4" borderId="0" xfId="1" applyNumberFormat="1" applyFont="1" applyFill="1" applyAlignment="1">
      <alignment horizontal="center" vertical="center"/>
    </xf>
    <xf numFmtId="43" fontId="0" fillId="0" borderId="0" xfId="3" applyFont="1" applyAlignment="1">
      <alignment horizontal="center" vertical="center"/>
    </xf>
    <xf numFmtId="164" fontId="0" fillId="0" borderId="0" xfId="1" quotePrefix="1" applyNumberFormat="1" applyFont="1" applyAlignment="1">
      <alignment horizontal="center" vertical="center"/>
    </xf>
    <xf numFmtId="167" fontId="20" fillId="0" borderId="0" xfId="3" applyNumberFormat="1" applyFont="1" applyAlignment="1">
      <alignment horizontal="center" vertical="center"/>
    </xf>
    <xf numFmtId="164" fontId="0" fillId="0" borderId="0" xfId="1" quotePrefix="1" applyNumberFormat="1" applyFont="1" applyAlignment="1">
      <alignment horizontal="center" vertical="center" wrapText="1"/>
    </xf>
    <xf numFmtId="164" fontId="2" fillId="5" borderId="0" xfId="1" applyNumberFormat="1" applyFont="1" applyFill="1" applyAlignment="1">
      <alignment horizontal="center" vertical="center"/>
    </xf>
    <xf numFmtId="164" fontId="2" fillId="6" borderId="0" xfId="1" applyNumberFormat="1" applyFont="1" applyFill="1" applyAlignment="1">
      <alignment horizontal="center" vertical="center"/>
    </xf>
    <xf numFmtId="164" fontId="0" fillId="7" borderId="0" xfId="1" applyNumberFormat="1" applyFont="1" applyFill="1" applyAlignment="1">
      <alignment horizontal="center" vertical="center"/>
    </xf>
    <xf numFmtId="44" fontId="0" fillId="0" borderId="0" xfId="1" applyNumberFormat="1" applyFont="1" applyAlignment="1">
      <alignment horizontal="center" vertical="center"/>
    </xf>
    <xf numFmtId="44" fontId="0" fillId="0" borderId="0" xfId="1" applyNumberFormat="1" applyFont="1" applyFill="1" applyAlignment="1">
      <alignment horizontal="center" vertical="center"/>
    </xf>
    <xf numFmtId="37" fontId="17" fillId="0" borderId="0" xfId="1" applyNumberFormat="1" applyFont="1" applyFill="1" applyAlignment="1">
      <alignment horizontal="center" vertical="center"/>
    </xf>
    <xf numFmtId="168" fontId="2" fillId="4" borderId="16" xfId="1" applyNumberFormat="1" applyFont="1" applyFill="1" applyBorder="1" applyAlignment="1">
      <alignment horizontal="center" vertical="center"/>
    </xf>
    <xf numFmtId="164" fontId="2" fillId="4" borderId="17" xfId="1" applyNumberFormat="1" applyFont="1" applyFill="1" applyBorder="1" applyAlignment="1">
      <alignment horizontal="center" vertical="center"/>
    </xf>
    <xf numFmtId="164" fontId="2" fillId="4" borderId="18" xfId="1" applyNumberFormat="1" applyFont="1" applyFill="1" applyBorder="1" applyAlignment="1">
      <alignment horizontal="center" vertical="center"/>
    </xf>
    <xf numFmtId="164" fontId="2" fillId="4" borderId="19" xfId="1" applyNumberFormat="1" applyFont="1" applyFill="1" applyBorder="1" applyAlignment="1">
      <alignment horizontal="center" vertical="center"/>
    </xf>
    <xf numFmtId="7" fontId="17" fillId="0" borderId="0" xfId="1" applyNumberFormat="1" applyFont="1" applyAlignment="1">
      <alignment horizontal="center" vertical="center"/>
    </xf>
    <xf numFmtId="44" fontId="17" fillId="0" borderId="0" xfId="1" applyNumberFormat="1" applyFont="1" applyAlignment="1">
      <alignment horizontal="center" vertical="center"/>
    </xf>
    <xf numFmtId="165" fontId="9" fillId="0" borderId="0" xfId="2" applyNumberFormat="1" applyFont="1" applyAlignment="1">
      <alignment horizontal="center" vertical="center"/>
    </xf>
    <xf numFmtId="165" fontId="17" fillId="0" borderId="0" xfId="2" applyNumberFormat="1" applyFont="1" applyAlignment="1">
      <alignment horizontal="center" vertical="center"/>
    </xf>
    <xf numFmtId="7" fontId="9" fillId="0" borderId="0" xfId="1" applyNumberFormat="1" applyFont="1" applyAlignment="1">
      <alignment horizontal="center" vertical="center"/>
    </xf>
    <xf numFmtId="44" fontId="14" fillId="0" borderId="0" xfId="1" quotePrefix="1" applyNumberFormat="1" applyFont="1" applyFill="1" applyAlignment="1">
      <alignment horizontal="left" vertical="center" wrapText="1"/>
    </xf>
    <xf numFmtId="164" fontId="9" fillId="0" borderId="0" xfId="1" applyNumberFormat="1" applyFont="1" applyFill="1" applyBorder="1" applyAlignment="1">
      <alignment vertical="center"/>
    </xf>
    <xf numFmtId="169" fontId="17" fillId="0" borderId="0" xfId="1" applyNumberFormat="1" applyFont="1" applyFill="1" applyAlignment="1">
      <alignment horizontal="center" vertical="center"/>
    </xf>
    <xf numFmtId="165" fontId="14" fillId="0" borderId="0" xfId="2" applyNumberFormat="1" applyFont="1" applyAlignment="1">
      <alignment horizontal="center" vertical="center"/>
    </xf>
    <xf numFmtId="167" fontId="9" fillId="0" borderId="0" xfId="3" applyNumberFormat="1" applyFont="1" applyAlignment="1">
      <alignment horizontal="center" vertical="center"/>
    </xf>
    <xf numFmtId="43" fontId="9" fillId="0" borderId="0" xfId="3" applyNumberFormat="1" applyFont="1" applyAlignment="1">
      <alignment horizontal="center" vertical="center"/>
    </xf>
    <xf numFmtId="164" fontId="17" fillId="0" borderId="0" xfId="1" applyNumberFormat="1" applyFont="1" applyBorder="1" applyAlignment="1">
      <alignment vertical="center"/>
    </xf>
    <xf numFmtId="164" fontId="17" fillId="0" borderId="23" xfId="1" applyNumberFormat="1" applyFont="1" applyFill="1" applyBorder="1" applyAlignment="1">
      <alignment vertical="center"/>
    </xf>
    <xf numFmtId="164" fontId="17" fillId="0" borderId="24" xfId="1" applyNumberFormat="1" applyFont="1" applyFill="1" applyBorder="1" applyAlignment="1">
      <alignment vertical="center" wrapText="1"/>
    </xf>
    <xf numFmtId="164" fontId="17" fillId="0" borderId="24" xfId="1" applyNumberFormat="1" applyFont="1" applyFill="1" applyBorder="1" applyAlignment="1">
      <alignment vertical="center"/>
    </xf>
    <xf numFmtId="164" fontId="17" fillId="0" borderId="25" xfId="1" applyNumberFormat="1" applyFont="1" applyFill="1" applyBorder="1" applyAlignment="1">
      <alignment vertical="center"/>
    </xf>
    <xf numFmtId="164" fontId="0" fillId="2" borderId="0" xfId="1" applyNumberFormat="1" applyFont="1" applyFill="1" applyBorder="1" applyAlignment="1">
      <alignment vertical="center"/>
    </xf>
    <xf numFmtId="164" fontId="0" fillId="2" borderId="0" xfId="1" applyNumberFormat="1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vertical="center"/>
    </xf>
    <xf numFmtId="164" fontId="10" fillId="2" borderId="0" xfId="1" applyNumberFormat="1" applyFont="1" applyFill="1" applyBorder="1" applyAlignment="1">
      <alignment vertical="center"/>
    </xf>
    <xf numFmtId="165" fontId="2" fillId="2" borderId="0" xfId="2" applyNumberFormat="1" applyFont="1" applyFill="1" applyBorder="1" applyAlignment="1">
      <alignment horizontal="center" vertical="center"/>
    </xf>
    <xf numFmtId="164" fontId="2" fillId="2" borderId="20" xfId="1" applyNumberFormat="1" applyFont="1" applyFill="1" applyBorder="1" applyAlignment="1">
      <alignment vertical="center"/>
    </xf>
    <xf numFmtId="164" fontId="0" fillId="2" borderId="21" xfId="1" applyNumberFormat="1" applyFont="1" applyFill="1" applyBorder="1" applyAlignment="1">
      <alignment vertical="center"/>
    </xf>
    <xf numFmtId="164" fontId="0" fillId="2" borderId="21" xfId="1" applyNumberFormat="1" applyFont="1" applyFill="1" applyBorder="1" applyAlignment="1">
      <alignment horizontal="center" vertical="center"/>
    </xf>
    <xf numFmtId="164" fontId="2" fillId="2" borderId="21" xfId="1" applyNumberFormat="1" applyFont="1" applyFill="1" applyBorder="1" applyAlignment="1">
      <alignment vertical="center"/>
    </xf>
    <xf numFmtId="164" fontId="10" fillId="2" borderId="21" xfId="1" applyNumberFormat="1" applyFont="1" applyFill="1" applyBorder="1" applyAlignment="1">
      <alignment vertical="center"/>
    </xf>
    <xf numFmtId="165" fontId="2" fillId="2" borderId="21" xfId="2" applyNumberFormat="1" applyFont="1" applyFill="1" applyBorder="1" applyAlignment="1">
      <alignment horizontal="center" vertical="center"/>
    </xf>
    <xf numFmtId="165" fontId="2" fillId="2" borderId="22" xfId="2" applyNumberFormat="1" applyFont="1" applyFill="1" applyBorder="1" applyAlignment="1">
      <alignment horizontal="center" vertical="center"/>
    </xf>
    <xf numFmtId="164" fontId="2" fillId="2" borderId="26" xfId="1" applyNumberFormat="1" applyFont="1" applyFill="1" applyBorder="1" applyAlignment="1">
      <alignment vertical="center"/>
    </xf>
    <xf numFmtId="165" fontId="2" fillId="2" borderId="27" xfId="2" applyNumberFormat="1" applyFont="1" applyFill="1" applyBorder="1" applyAlignment="1">
      <alignment horizontal="center" vertical="center"/>
    </xf>
    <xf numFmtId="164" fontId="2" fillId="2" borderId="23" xfId="1" applyNumberFormat="1" applyFont="1" applyFill="1" applyBorder="1" applyAlignment="1">
      <alignment vertical="center"/>
    </xf>
    <xf numFmtId="164" fontId="0" fillId="2" borderId="24" xfId="1" applyNumberFormat="1" applyFont="1" applyFill="1" applyBorder="1" applyAlignment="1">
      <alignment vertical="center"/>
    </xf>
    <xf numFmtId="164" fontId="0" fillId="2" borderId="24" xfId="1" applyNumberFormat="1" applyFont="1" applyFill="1" applyBorder="1" applyAlignment="1">
      <alignment horizontal="center" vertical="center"/>
    </xf>
    <xf numFmtId="44" fontId="0" fillId="2" borderId="24" xfId="1" applyNumberFormat="1" applyFont="1" applyFill="1" applyBorder="1" applyAlignment="1">
      <alignment horizontal="center" vertical="center"/>
    </xf>
    <xf numFmtId="164" fontId="2" fillId="2" borderId="24" xfId="1" applyNumberFormat="1" applyFont="1" applyFill="1" applyBorder="1" applyAlignment="1">
      <alignment vertical="center"/>
    </xf>
    <xf numFmtId="164" fontId="10" fillId="2" borderId="24" xfId="1" applyNumberFormat="1" applyFont="1" applyFill="1" applyBorder="1" applyAlignment="1">
      <alignment vertical="center"/>
    </xf>
    <xf numFmtId="165" fontId="2" fillId="2" borderId="24" xfId="2" applyNumberFormat="1" applyFont="1" applyFill="1" applyBorder="1" applyAlignment="1">
      <alignment horizontal="center" vertical="center"/>
    </xf>
    <xf numFmtId="165" fontId="2" fillId="2" borderId="25" xfId="2" applyNumberFormat="1" applyFont="1" applyFill="1" applyBorder="1" applyAlignment="1">
      <alignment horizontal="center" vertical="center"/>
    </xf>
    <xf numFmtId="164" fontId="2" fillId="2" borderId="21" xfId="1" applyNumberFormat="1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 vertical="center"/>
    </xf>
    <xf numFmtId="164" fontId="2" fillId="2" borderId="24" xfId="1" applyNumberFormat="1" applyFont="1" applyFill="1" applyBorder="1" applyAlignment="1">
      <alignment horizontal="center" vertical="center"/>
    </xf>
    <xf numFmtId="5" fontId="17" fillId="0" borderId="0" xfId="1" applyNumberFormat="1" applyFont="1" applyAlignment="1">
      <alignment horizontal="center" vertical="center"/>
    </xf>
    <xf numFmtId="9" fontId="17" fillId="0" borderId="0" xfId="2" applyFont="1" applyAlignment="1">
      <alignment horizontal="center" vertical="center"/>
    </xf>
    <xf numFmtId="5" fontId="9" fillId="0" borderId="0" xfId="1" applyNumberFormat="1" applyFont="1" applyAlignment="1">
      <alignment horizontal="center" vertical="center"/>
    </xf>
    <xf numFmtId="10" fontId="17" fillId="0" borderId="0" xfId="2" applyNumberFormat="1" applyFont="1" applyAlignment="1">
      <alignment horizontal="center" vertical="center"/>
    </xf>
    <xf numFmtId="10" fontId="17" fillId="0" borderId="0" xfId="2" applyNumberFormat="1" applyFont="1" applyAlignment="1">
      <alignment vertical="center"/>
    </xf>
    <xf numFmtId="170" fontId="9" fillId="0" borderId="0" xfId="2" applyNumberFormat="1" applyFont="1" applyAlignment="1">
      <alignment vertical="center"/>
    </xf>
    <xf numFmtId="164" fontId="0" fillId="0" borderId="0" xfId="1" applyNumberFormat="1" applyFont="1" applyAlignment="1">
      <alignment horizontal="left" vertical="center" wrapText="1"/>
    </xf>
    <xf numFmtId="164" fontId="6" fillId="0" borderId="0" xfId="1" applyNumberFormat="1" applyFont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1" fontId="2" fillId="7" borderId="4" xfId="1" applyNumberFormat="1" applyFont="1" applyFill="1" applyBorder="1" applyAlignment="1">
      <alignment horizontal="center" vertical="center"/>
    </xf>
    <xf numFmtId="1" fontId="2" fillId="7" borderId="6" xfId="1" applyNumberFormat="1" applyFont="1" applyFill="1" applyBorder="1" applyAlignment="1">
      <alignment horizontal="center" vertical="center"/>
    </xf>
    <xf numFmtId="1" fontId="2" fillId="7" borderId="5" xfId="1" applyNumberFormat="1" applyFont="1" applyFill="1" applyBorder="1" applyAlignment="1">
      <alignment horizontal="center" vertical="center"/>
    </xf>
    <xf numFmtId="1" fontId="2" fillId="7" borderId="1" xfId="1" applyNumberFormat="1" applyFont="1" applyFill="1" applyBorder="1" applyAlignment="1">
      <alignment horizontal="center" vertical="center"/>
    </xf>
    <xf numFmtId="1" fontId="2" fillId="7" borderId="2" xfId="1" applyNumberFormat="1" applyFont="1" applyFill="1" applyBorder="1" applyAlignment="1">
      <alignment horizontal="center" vertical="center"/>
    </xf>
    <xf numFmtId="1" fontId="2" fillId="7" borderId="3" xfId="1" applyNumberFormat="1" applyFont="1" applyFill="1" applyBorder="1" applyAlignment="1">
      <alignment horizontal="center" vertical="center"/>
    </xf>
    <xf numFmtId="164" fontId="16" fillId="0" borderId="0" xfId="1" applyNumberFormat="1" applyFont="1" applyAlignment="1">
      <alignment horizontal="center" vertical="center" wrapText="1"/>
    </xf>
    <xf numFmtId="1" fontId="10" fillId="7" borderId="4" xfId="1" applyNumberFormat="1" applyFont="1" applyFill="1" applyBorder="1" applyAlignment="1">
      <alignment horizontal="center" vertical="center"/>
    </xf>
    <xf numFmtId="1" fontId="10" fillId="7" borderId="6" xfId="1" applyNumberFormat="1" applyFont="1" applyFill="1" applyBorder="1" applyAlignment="1">
      <alignment horizontal="center" vertical="center"/>
    </xf>
    <xf numFmtId="1" fontId="10" fillId="7" borderId="5" xfId="1" applyNumberFormat="1" applyFont="1" applyFill="1" applyBorder="1" applyAlignment="1">
      <alignment horizontal="center" vertical="center"/>
    </xf>
    <xf numFmtId="1" fontId="2" fillId="0" borderId="2" xfId="1" applyNumberFormat="1" applyFont="1" applyFill="1" applyBorder="1" applyAlignment="1">
      <alignment horizontal="center" vertical="center" wrapText="1"/>
    </xf>
    <xf numFmtId="1" fontId="2" fillId="0" borderId="3" xfId="1" applyNumberFormat="1" applyFont="1" applyFill="1" applyBorder="1" applyAlignment="1">
      <alignment horizontal="center" vertical="center" wrapText="1"/>
    </xf>
    <xf numFmtId="164" fontId="15" fillId="0" borderId="4" xfId="1" applyNumberFormat="1" applyFont="1" applyBorder="1" applyAlignment="1">
      <alignment horizontal="center" vertical="center" wrapText="1"/>
    </xf>
    <xf numFmtId="164" fontId="15" fillId="0" borderId="9" xfId="1" applyNumberFormat="1" applyFont="1" applyBorder="1" applyAlignment="1">
      <alignment horizontal="center" vertical="center" wrapText="1"/>
    </xf>
    <xf numFmtId="164" fontId="15" fillId="0" borderId="6" xfId="1" applyNumberFormat="1" applyFont="1" applyBorder="1" applyAlignment="1">
      <alignment horizontal="center" vertical="center" wrapText="1"/>
    </xf>
    <xf numFmtId="164" fontId="15" fillId="0" borderId="8" xfId="1" applyNumberFormat="1" applyFont="1" applyBorder="1" applyAlignment="1">
      <alignment horizontal="center" vertical="center" wrapText="1"/>
    </xf>
    <xf numFmtId="164" fontId="2" fillId="0" borderId="5" xfId="1" applyNumberFormat="1" applyFont="1" applyBorder="1" applyAlignment="1">
      <alignment horizontal="center" vertical="center" wrapText="1"/>
    </xf>
    <xf numFmtId="164" fontId="2" fillId="0" borderId="10" xfId="1" applyNumberFormat="1" applyFont="1" applyBorder="1" applyAlignment="1">
      <alignment horizontal="center" vertical="center" wrapText="1"/>
    </xf>
    <xf numFmtId="164" fontId="10" fillId="0" borderId="4" xfId="1" applyNumberFormat="1" applyFont="1" applyBorder="1" applyAlignment="1">
      <alignment horizontal="center" vertical="center" wrapText="1"/>
    </xf>
    <xf numFmtId="164" fontId="10" fillId="0" borderId="9" xfId="1" applyNumberFormat="1" applyFont="1" applyBorder="1" applyAlignment="1">
      <alignment horizontal="center" vertical="center" wrapText="1"/>
    </xf>
    <xf numFmtId="164" fontId="10" fillId="0" borderId="6" xfId="1" applyNumberFormat="1" applyFont="1" applyBorder="1" applyAlignment="1">
      <alignment horizontal="center" vertical="center" wrapText="1"/>
    </xf>
    <xf numFmtId="164" fontId="10" fillId="0" borderId="8" xfId="1" applyNumberFormat="1" applyFont="1" applyBorder="1" applyAlignment="1">
      <alignment horizontal="center" vertical="center" wrapText="1"/>
    </xf>
    <xf numFmtId="168" fontId="2" fillId="4" borderId="14" xfId="1" applyNumberFormat="1" applyFont="1" applyFill="1" applyBorder="1" applyAlignment="1">
      <alignment horizontal="center"/>
    </xf>
    <xf numFmtId="168" fontId="2" fillId="4" borderId="15" xfId="1" applyNumberFormat="1" applyFont="1" applyFill="1" applyBorder="1" applyAlignment="1">
      <alignment horizontal="center"/>
    </xf>
    <xf numFmtId="164" fontId="2" fillId="9" borderId="0" xfId="1" applyNumberFormat="1" applyFont="1" applyFill="1" applyAlignment="1">
      <alignment horizontal="left" vertical="center" wrapText="1"/>
    </xf>
    <xf numFmtId="168" fontId="2" fillId="4" borderId="11" xfId="1" applyNumberFormat="1" applyFont="1" applyFill="1" applyBorder="1" applyAlignment="1">
      <alignment horizontal="center" vertical="center"/>
    </xf>
    <xf numFmtId="168" fontId="2" fillId="4" borderId="12" xfId="1" applyNumberFormat="1" applyFont="1" applyFill="1" applyBorder="1" applyAlignment="1">
      <alignment horizontal="center" vertical="center"/>
    </xf>
    <xf numFmtId="168" fontId="2" fillId="4" borderId="13" xfId="1" applyNumberFormat="1" applyFont="1" applyFill="1" applyBorder="1" applyAlignment="1">
      <alignment horizontal="center" vertical="center"/>
    </xf>
    <xf numFmtId="168" fontId="0" fillId="0" borderId="11" xfId="1" applyNumberFormat="1" applyFont="1" applyFill="1" applyBorder="1" applyAlignment="1">
      <alignment horizontal="center" vertical="center"/>
    </xf>
    <xf numFmtId="168" fontId="0" fillId="0" borderId="12" xfId="1" applyNumberFormat="1" applyFont="1" applyFill="1" applyBorder="1" applyAlignment="1">
      <alignment horizontal="center" vertical="center"/>
    </xf>
    <xf numFmtId="168" fontId="0" fillId="0" borderId="13" xfId="1" applyNumberFormat="1" applyFont="1" applyFill="1" applyBorder="1" applyAlignment="1">
      <alignment horizontal="center" vertical="center"/>
    </xf>
    <xf numFmtId="164" fontId="17" fillId="0" borderId="26" xfId="1" applyNumberFormat="1" applyFont="1" applyFill="1" applyBorder="1" applyAlignment="1">
      <alignment horizontal="left" vertical="center" wrapText="1"/>
    </xf>
    <xf numFmtId="164" fontId="17" fillId="0" borderId="0" xfId="1" applyNumberFormat="1" applyFont="1" applyFill="1" applyAlignment="1">
      <alignment horizontal="left" vertical="center" wrapText="1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00FF"/>
      <color rgb="FFFFFF99"/>
      <color rgb="FFCCFFCC"/>
      <color rgb="FFCCCC00"/>
      <color rgb="FFF8F8F8"/>
      <color rgb="FFFFFFCC"/>
      <color rgb="FF808000"/>
      <color rgb="FFFFCC66"/>
      <color rgb="FFB8CCE4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C2"/>
  <sheetViews>
    <sheetView showGridLines="0" workbookViewId="0">
      <selection activeCell="B8" sqref="B8"/>
    </sheetView>
  </sheetViews>
  <sheetFormatPr defaultColWidth="9.109375" defaultRowHeight="23.4" x14ac:dyDescent="0.45"/>
  <cols>
    <col min="1" max="1" width="23.109375" style="45" customWidth="1"/>
    <col min="2" max="16384" width="9.109375" style="45"/>
  </cols>
  <sheetData>
    <row r="2" spans="1:3" x14ac:dyDescent="0.45">
      <c r="A2" s="45" t="s">
        <v>196</v>
      </c>
      <c r="C2" s="46">
        <v>2018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119"/>
  <sheetViews>
    <sheetView showGridLines="0" tabSelected="1" topLeftCell="B1" zoomScaleNormal="100" workbookViewId="0">
      <selection activeCell="F118" sqref="F118"/>
    </sheetView>
  </sheetViews>
  <sheetFormatPr defaultColWidth="9.109375" defaultRowHeight="14.4" x14ac:dyDescent="0.3"/>
  <cols>
    <col min="1" max="1" width="4.44140625" style="47" hidden="1" customWidth="1"/>
    <col min="2" max="2" width="4.33203125" style="4" customWidth="1"/>
    <col min="3" max="3" width="9.109375" style="1"/>
    <col min="4" max="4" width="27.88671875" style="1" customWidth="1"/>
    <col min="5" max="6" width="12.109375" style="1" customWidth="1"/>
    <col min="7" max="7" width="12.5546875" style="1" customWidth="1"/>
    <col min="8" max="8" width="2.5546875" style="1" customWidth="1"/>
    <col min="9" max="9" width="12.5546875" style="1" bestFit="1" customWidth="1"/>
    <col min="10" max="10" width="11.6640625" style="1" customWidth="1"/>
    <col min="11" max="11" width="10" style="42" bestFit="1" customWidth="1"/>
    <col min="12" max="12" width="10" style="1" bestFit="1" customWidth="1"/>
    <col min="13" max="13" width="9.109375" style="1"/>
    <col min="14" max="14" width="13.44140625" style="1" customWidth="1"/>
    <col min="15" max="15" width="9.5546875" style="1" bestFit="1" customWidth="1"/>
    <col min="16" max="16384" width="9.109375" style="1"/>
  </cols>
  <sheetData>
    <row r="1" spans="1:11" ht="41.25" customHeight="1" x14ac:dyDescent="0.3">
      <c r="B1" s="173" t="s">
        <v>92</v>
      </c>
      <c r="C1" s="173"/>
      <c r="D1" s="173"/>
      <c r="E1" s="173"/>
      <c r="F1" s="173"/>
      <c r="G1" s="173"/>
      <c r="H1" s="173"/>
      <c r="I1" s="173"/>
      <c r="J1" s="173"/>
      <c r="K1" s="173"/>
    </row>
    <row r="2" spans="1:11" ht="8.25" customHeight="1" x14ac:dyDescent="0.3">
      <c r="B2" s="174"/>
      <c r="C2" s="174"/>
      <c r="D2" s="174"/>
      <c r="E2" s="174"/>
      <c r="F2" s="174"/>
      <c r="G2" s="174"/>
      <c r="H2" s="174"/>
      <c r="I2" s="174"/>
      <c r="J2" s="174"/>
      <c r="K2" s="174"/>
    </row>
    <row r="3" spans="1:11" ht="18" customHeight="1" x14ac:dyDescent="0.3">
      <c r="E3" s="178" t="s">
        <v>91</v>
      </c>
      <c r="F3" s="179"/>
      <c r="G3" s="180"/>
      <c r="I3" s="175" t="str">
        <f>+'New Year-Full Year'!T2</f>
        <v>2017 Year to Date (YTD)</v>
      </c>
      <c r="J3" s="176"/>
      <c r="K3" s="177"/>
    </row>
    <row r="4" spans="1:11" s="4" customFormat="1" ht="44.25" customHeight="1" x14ac:dyDescent="0.3">
      <c r="A4" s="48"/>
      <c r="E4" s="50" t="str">
        <f>+'New Year-Full Year'!O3</f>
        <v>2018 Budget</v>
      </c>
      <c r="F4" s="44" t="str">
        <f>+'New Year-Full Year'!P3</f>
        <v>2017 Budget</v>
      </c>
      <c r="G4" s="51" t="str">
        <f>+'New Year-Full Year'!R4</f>
        <v>%</v>
      </c>
      <c r="I4" s="2" t="str">
        <f>+'New Year-Full Year'!T3</f>
        <v>Nov YTD Actual</v>
      </c>
      <c r="J4" s="41" t="str">
        <f>+'New Year-Full Year'!U3</f>
        <v>Nov YTD Budget</v>
      </c>
      <c r="K4" s="3" t="s">
        <v>90</v>
      </c>
    </row>
    <row r="5" spans="1:11" s="4" customFormat="1" ht="18" x14ac:dyDescent="0.3">
      <c r="A5" s="48"/>
      <c r="B5" s="9" t="s">
        <v>0</v>
      </c>
      <c r="E5" s="10"/>
      <c r="F5" s="43"/>
      <c r="G5" s="43"/>
      <c r="I5" s="43"/>
      <c r="J5" s="43"/>
      <c r="K5" s="43"/>
    </row>
    <row r="6" spans="1:11" x14ac:dyDescent="0.3">
      <c r="A6" s="47">
        <v>1</v>
      </c>
      <c r="B6" s="4" t="s">
        <v>1</v>
      </c>
    </row>
    <row r="7" spans="1:11" x14ac:dyDescent="0.3">
      <c r="A7" s="47">
        <v>2</v>
      </c>
      <c r="C7" s="1" t="str">
        <f>+'New Year-Full Year'!C7</f>
        <v>Envelope Giving</v>
      </c>
      <c r="E7" s="40">
        <f>+'New Year-Full Year'!O7</f>
        <v>500000</v>
      </c>
      <c r="F7" s="40">
        <f>+'New Year-Full Year'!P7</f>
        <v>520000</v>
      </c>
      <c r="G7" s="6">
        <f t="shared" ref="G7:G12" si="0">IF(F7=0,"NA",(+E7-F7)/F7)</f>
        <v>-3.8461538461538464E-2</v>
      </c>
      <c r="I7" s="40">
        <f>+'New Year-Full Year'!T7</f>
        <v>474250.58</v>
      </c>
      <c r="J7" s="40">
        <f>+'New Year-Full Year'!U7</f>
        <v>482473.68</v>
      </c>
      <c r="K7" s="6">
        <f t="shared" ref="K7:K12" si="1">IF(J7=0,"NA",(+I7-J7)/J7)</f>
        <v>-1.7043624016961873E-2</v>
      </c>
    </row>
    <row r="8" spans="1:11" x14ac:dyDescent="0.3">
      <c r="A8" s="47">
        <v>4</v>
      </c>
      <c r="C8" s="1" t="str">
        <f>+'New Year-Full Year'!C8</f>
        <v>Easter Offerings</v>
      </c>
      <c r="E8" s="40">
        <f>+'New Year-Full Year'!O8</f>
        <v>4000</v>
      </c>
      <c r="F8" s="40">
        <f>+'New Year-Full Year'!P8</f>
        <v>4000</v>
      </c>
      <c r="G8" s="6">
        <f t="shared" si="0"/>
        <v>0</v>
      </c>
      <c r="I8" s="40">
        <f>+'New Year-Full Year'!T8</f>
        <v>4018</v>
      </c>
      <c r="J8" s="40">
        <f>+'New Year-Full Year'!U8</f>
        <v>4000</v>
      </c>
      <c r="K8" s="6">
        <f t="shared" si="1"/>
        <v>4.4999999999999997E-3</v>
      </c>
    </row>
    <row r="9" spans="1:11" x14ac:dyDescent="0.3">
      <c r="A9" s="47">
        <v>5</v>
      </c>
      <c r="C9" s="1" t="str">
        <f>+'New Year-Full Year'!C9</f>
        <v>Thanksgiving Offerings</v>
      </c>
      <c r="E9" s="40">
        <f>+'New Year-Full Year'!O9</f>
        <v>1000</v>
      </c>
      <c r="F9" s="40">
        <f>+'New Year-Full Year'!P9</f>
        <v>1000</v>
      </c>
      <c r="G9" s="6">
        <f t="shared" si="0"/>
        <v>0</v>
      </c>
      <c r="I9" s="40">
        <f>+'New Year-Full Year'!T9</f>
        <v>300.5</v>
      </c>
      <c r="J9" s="40">
        <f>+'New Year-Full Year'!U9</f>
        <v>653.98</v>
      </c>
      <c r="K9" s="6">
        <f t="shared" si="1"/>
        <v>-0.54050582586623441</v>
      </c>
    </row>
    <row r="10" spans="1:11" x14ac:dyDescent="0.3">
      <c r="A10" s="47">
        <v>6</v>
      </c>
      <c r="C10" s="1" t="str">
        <f>+'New Year-Full Year'!C10</f>
        <v>Christmas Offerings</v>
      </c>
      <c r="E10" s="40">
        <f>+'New Year-Full Year'!O10</f>
        <v>5000</v>
      </c>
      <c r="F10" s="40">
        <f>+'New Year-Full Year'!P10</f>
        <v>5000</v>
      </c>
      <c r="G10" s="6">
        <f t="shared" si="0"/>
        <v>0</v>
      </c>
      <c r="I10" s="40">
        <f>+'New Year-Full Year'!T10</f>
        <v>0</v>
      </c>
      <c r="J10" s="40">
        <f>+'New Year-Full Year'!U10</f>
        <v>485.82</v>
      </c>
      <c r="K10" s="6">
        <f t="shared" si="1"/>
        <v>-1</v>
      </c>
    </row>
    <row r="11" spans="1:11" x14ac:dyDescent="0.3">
      <c r="A11" s="47">
        <v>7</v>
      </c>
      <c r="C11" s="1" t="str">
        <f>+'New Year-Full Year'!C11</f>
        <v>Lenten Offerings</v>
      </c>
      <c r="E11" s="40">
        <f>+'New Year-Full Year'!O11</f>
        <v>3000</v>
      </c>
      <c r="F11" s="40">
        <f>+'New Year-Full Year'!P11</f>
        <v>2000</v>
      </c>
      <c r="G11" s="6">
        <f t="shared" si="0"/>
        <v>0.5</v>
      </c>
      <c r="I11" s="40">
        <f>+'New Year-Full Year'!T11</f>
        <v>3698</v>
      </c>
      <c r="J11" s="40">
        <f>+'New Year-Full Year'!U11</f>
        <v>2000</v>
      </c>
      <c r="K11" s="6">
        <f t="shared" si="1"/>
        <v>0.84899999999999998</v>
      </c>
    </row>
    <row r="12" spans="1:11" x14ac:dyDescent="0.3">
      <c r="A12" s="47">
        <v>8</v>
      </c>
      <c r="B12" s="12" t="s">
        <v>6</v>
      </c>
      <c r="C12" s="12"/>
      <c r="D12" s="12"/>
      <c r="E12" s="12">
        <f>SUM(E7:E11)</f>
        <v>513000</v>
      </c>
      <c r="F12" s="12">
        <f>SUM(F7:F11)</f>
        <v>532000</v>
      </c>
      <c r="G12" s="13">
        <f t="shared" si="0"/>
        <v>-3.5714285714285712E-2</v>
      </c>
      <c r="I12" s="12">
        <f>SUM(I7:I11)</f>
        <v>482267.08</v>
      </c>
      <c r="J12" s="12">
        <f>SUM(J7:J11)</f>
        <v>489613.48</v>
      </c>
      <c r="K12" s="13">
        <f t="shared" si="1"/>
        <v>-1.5004488846998178E-2</v>
      </c>
    </row>
    <row r="13" spans="1:11" ht="5.25" customHeight="1" x14ac:dyDescent="0.3">
      <c r="A13" s="47">
        <v>9</v>
      </c>
      <c r="G13" s="42"/>
    </row>
    <row r="14" spans="1:11" x14ac:dyDescent="0.3">
      <c r="A14" s="47">
        <v>10</v>
      </c>
      <c r="B14" s="4" t="s">
        <v>7</v>
      </c>
      <c r="G14" s="42"/>
    </row>
    <row r="15" spans="1:11" x14ac:dyDescent="0.3">
      <c r="A15" s="47">
        <v>11</v>
      </c>
      <c r="C15" s="1" t="str">
        <f>+'New Year-Full Year'!C15</f>
        <v>Loose Offerings</v>
      </c>
      <c r="E15" s="40">
        <f>+'New Year-Full Year'!O15</f>
        <v>8500</v>
      </c>
      <c r="F15" s="40">
        <f>+'New Year-Full Year'!P15</f>
        <v>7500</v>
      </c>
      <c r="G15" s="6">
        <f t="shared" ref="G15:G21" si="2">IF(F15=0,"NA",(+E15-F15)/F15)</f>
        <v>0.13333333333333333</v>
      </c>
      <c r="I15" s="40">
        <f>+'New Year-Full Year'!T15</f>
        <v>8449.5499999999993</v>
      </c>
      <c r="J15" s="40">
        <f>+'New Year-Full Year'!U15</f>
        <v>6026.12</v>
      </c>
      <c r="K15" s="6">
        <f t="shared" ref="K15:K21" si="3">IF(J15=0,"NA",(+I15-J15)/J15)</f>
        <v>0.40215428833146361</v>
      </c>
    </row>
    <row r="16" spans="1:11" x14ac:dyDescent="0.3">
      <c r="A16" s="47">
        <v>12</v>
      </c>
      <c r="C16" s="1" t="str">
        <f>+'New Year-Full Year'!C16</f>
        <v>Misc Income</v>
      </c>
      <c r="E16" s="40">
        <f>+'New Year-Full Year'!O16</f>
        <v>0</v>
      </c>
      <c r="F16" s="40">
        <f>+'New Year-Full Year'!P16</f>
        <v>0</v>
      </c>
      <c r="G16" s="6" t="str">
        <f t="shared" si="2"/>
        <v>NA</v>
      </c>
      <c r="I16" s="40">
        <f>+'New Year-Full Year'!T16</f>
        <v>3962.1</v>
      </c>
      <c r="J16" s="40">
        <f>+'New Year-Full Year'!U16</f>
        <v>0</v>
      </c>
      <c r="K16" s="6" t="str">
        <f t="shared" si="3"/>
        <v>NA</v>
      </c>
    </row>
    <row r="17" spans="1:11" hidden="1" x14ac:dyDescent="0.3">
      <c r="A17" s="47">
        <v>13</v>
      </c>
      <c r="C17" s="1" t="str">
        <f>+'New Year-Full Year'!C17</f>
        <v>Special Appeal</v>
      </c>
      <c r="E17" s="40">
        <f>+'New Year-Full Year'!O17</f>
        <v>0</v>
      </c>
      <c r="F17" s="40">
        <f>+'New Year-Full Year'!P17</f>
        <v>0</v>
      </c>
      <c r="G17" s="6" t="str">
        <f t="shared" si="2"/>
        <v>NA</v>
      </c>
      <c r="I17" s="40">
        <f>+'New Year-Full Year'!T17</f>
        <v>0</v>
      </c>
      <c r="J17" s="40">
        <f>+'New Year-Full Year'!U17</f>
        <v>0</v>
      </c>
      <c r="K17" s="6" t="str">
        <f t="shared" si="3"/>
        <v>NA</v>
      </c>
    </row>
    <row r="18" spans="1:11" x14ac:dyDescent="0.3">
      <c r="A18" s="47">
        <v>14</v>
      </c>
      <c r="C18" s="1" t="str">
        <f>+'New Year-Full Year'!C18</f>
        <v>Current Investment Income</v>
      </c>
      <c r="E18" s="40">
        <f>+'New Year-Full Year'!O18</f>
        <v>0</v>
      </c>
      <c r="F18" s="40">
        <f>+'New Year-Full Year'!P18</f>
        <v>0</v>
      </c>
      <c r="G18" s="6" t="str">
        <f t="shared" si="2"/>
        <v>NA</v>
      </c>
      <c r="I18" s="40">
        <f>+'New Year-Full Year'!T18</f>
        <v>1.61</v>
      </c>
      <c r="J18" s="40">
        <f>+'New Year-Full Year'!U18</f>
        <v>0</v>
      </c>
      <c r="K18" s="6" t="str">
        <f t="shared" si="3"/>
        <v>NA</v>
      </c>
    </row>
    <row r="19" spans="1:11" x14ac:dyDescent="0.3">
      <c r="A19" s="47">
        <v>15</v>
      </c>
      <c r="C19" s="1" t="str">
        <f>+'New Year-Full Year'!C19</f>
        <v>Clearing Account</v>
      </c>
      <c r="E19" s="40">
        <f>+'New Year-Full Year'!O19</f>
        <v>0</v>
      </c>
      <c r="F19" s="40">
        <f>+'New Year-Full Year'!P19</f>
        <v>0</v>
      </c>
      <c r="G19" s="6" t="str">
        <f t="shared" si="2"/>
        <v>NA</v>
      </c>
      <c r="I19" s="40">
        <f>+'New Year-Full Year'!T19</f>
        <v>0</v>
      </c>
      <c r="J19" s="40">
        <f>+'New Year-Full Year'!U19</f>
        <v>0</v>
      </c>
      <c r="K19" s="6" t="str">
        <f t="shared" si="3"/>
        <v>NA</v>
      </c>
    </row>
    <row r="20" spans="1:11" x14ac:dyDescent="0.3">
      <c r="A20" s="47">
        <v>16</v>
      </c>
      <c r="B20" s="12" t="s">
        <v>10</v>
      </c>
      <c r="C20" s="12"/>
      <c r="D20" s="12"/>
      <c r="E20" s="12">
        <f>SUM(E15:E19)</f>
        <v>8500</v>
      </c>
      <c r="F20" s="12">
        <f>SUM(F15:F19)</f>
        <v>7500</v>
      </c>
      <c r="G20" s="13">
        <f t="shared" si="2"/>
        <v>0.13333333333333333</v>
      </c>
      <c r="I20" s="12">
        <f>SUM(I15:I19)</f>
        <v>12413.26</v>
      </c>
      <c r="J20" s="12">
        <f>SUM(J15:J19)</f>
        <v>6026.12</v>
      </c>
      <c r="K20" s="13">
        <f t="shared" si="3"/>
        <v>1.0599091953031139</v>
      </c>
    </row>
    <row r="21" spans="1:11" x14ac:dyDescent="0.3">
      <c r="A21" s="47">
        <v>17</v>
      </c>
      <c r="B21" s="12" t="s">
        <v>12</v>
      </c>
      <c r="C21" s="12"/>
      <c r="D21" s="12"/>
      <c r="E21" s="12">
        <f>+E12+E20</f>
        <v>521500</v>
      </c>
      <c r="F21" s="12">
        <f>+F12+F20</f>
        <v>539500</v>
      </c>
      <c r="G21" s="13">
        <f t="shared" si="2"/>
        <v>-3.3364226135310475E-2</v>
      </c>
      <c r="I21" s="12">
        <f>+I12+I20</f>
        <v>494680.34</v>
      </c>
      <c r="J21" s="12">
        <f>+J12+J20</f>
        <v>495639.6</v>
      </c>
      <c r="K21" s="13">
        <f t="shared" si="3"/>
        <v>-1.9353982208038889E-3</v>
      </c>
    </row>
    <row r="22" spans="1:11" ht="6" customHeight="1" x14ac:dyDescent="0.3">
      <c r="A22" s="47">
        <v>18</v>
      </c>
      <c r="G22" s="42"/>
    </row>
    <row r="23" spans="1:11" ht="18" x14ac:dyDescent="0.3">
      <c r="A23" s="47">
        <v>19</v>
      </c>
      <c r="B23" s="9" t="s">
        <v>13</v>
      </c>
      <c r="G23" s="42"/>
    </row>
    <row r="24" spans="1:11" s="4" customFormat="1" x14ac:dyDescent="0.3">
      <c r="A24" s="47">
        <v>26</v>
      </c>
      <c r="B24" s="14"/>
      <c r="C24" s="15" t="s">
        <v>98</v>
      </c>
      <c r="D24" s="14"/>
      <c r="E24" s="14">
        <f>+'New Year-Full Year'!O29</f>
        <v>52150</v>
      </c>
      <c r="F24" s="14">
        <f>+'New Year-Full Year'!P29</f>
        <v>53950</v>
      </c>
      <c r="G24" s="16">
        <f>IF(F24=0,"NA",(+E24-F24)/F24)</f>
        <v>-3.3364226135310475E-2</v>
      </c>
      <c r="H24" s="1"/>
      <c r="I24" s="14">
        <f>+'New Year-Full Year'!T29</f>
        <v>45891.63</v>
      </c>
      <c r="J24" s="14">
        <f>+'New Year-Full Year'!U29</f>
        <v>46487.5</v>
      </c>
      <c r="K24" s="16">
        <f>IF(J24=0,"NA",(+I24-J24)/J24)</f>
        <v>-1.2817854261898416E-2</v>
      </c>
    </row>
    <row r="25" spans="1:11" s="4" customFormat="1" ht="6.75" customHeight="1" x14ac:dyDescent="0.3">
      <c r="A25" s="47">
        <v>27</v>
      </c>
      <c r="B25" s="17"/>
      <c r="C25" s="18"/>
      <c r="D25" s="17"/>
      <c r="E25" s="17"/>
      <c r="F25" s="19"/>
      <c r="G25" s="20"/>
      <c r="H25" s="1"/>
      <c r="I25" s="19"/>
      <c r="J25" s="19"/>
      <c r="K25" s="20"/>
    </row>
    <row r="26" spans="1:11" s="4" customFormat="1" ht="18" x14ac:dyDescent="0.3">
      <c r="A26" s="47">
        <v>28</v>
      </c>
      <c r="B26" s="21" t="s">
        <v>67</v>
      </c>
      <c r="C26" s="18"/>
      <c r="D26" s="17"/>
      <c r="E26" s="17"/>
      <c r="F26" s="19"/>
      <c r="G26" s="20"/>
      <c r="H26" s="17"/>
      <c r="I26" s="19"/>
      <c r="J26" s="19"/>
      <c r="K26" s="20"/>
    </row>
    <row r="27" spans="1:11" x14ac:dyDescent="0.3">
      <c r="A27" s="47">
        <v>29</v>
      </c>
      <c r="B27" s="4" t="s">
        <v>17</v>
      </c>
      <c r="G27" s="42"/>
    </row>
    <row r="28" spans="1:11" x14ac:dyDescent="0.3">
      <c r="A28" s="47">
        <v>30</v>
      </c>
      <c r="C28" s="1" t="str">
        <f>+'New Year-Full Year'!C33</f>
        <v>Sunday School</v>
      </c>
      <c r="E28" s="40">
        <f>+'New Year-Full Year'!O33</f>
        <v>2000</v>
      </c>
      <c r="F28" s="40">
        <f>+'New Year-Full Year'!P33</f>
        <v>3000</v>
      </c>
      <c r="G28" s="6">
        <f t="shared" ref="G28:G35" si="4">IF(F28=0,"NA",(+E28-F28)/F28)</f>
        <v>-0.33333333333333331</v>
      </c>
      <c r="I28" s="40">
        <f>+'New Year-Full Year'!T33</f>
        <v>692.82</v>
      </c>
      <c r="J28" s="40">
        <f>+'New Year-Full Year'!U33</f>
        <v>2750</v>
      </c>
      <c r="K28" s="6">
        <f t="shared" ref="K28:K35" si="5">IF(J28=0,"NA",(+I28-J28)/J28)</f>
        <v>-0.74806545454545448</v>
      </c>
    </row>
    <row r="29" spans="1:11" x14ac:dyDescent="0.3">
      <c r="A29" s="47">
        <v>31</v>
      </c>
      <c r="C29" s="1" t="str">
        <f>+'New Year-Full Year'!C34</f>
        <v>Confirmation</v>
      </c>
      <c r="E29" s="40">
        <f>+'New Year-Full Year'!O34</f>
        <v>1000</v>
      </c>
      <c r="F29" s="40">
        <f>+'New Year-Full Year'!P34</f>
        <v>1400</v>
      </c>
      <c r="G29" s="6">
        <f t="shared" si="4"/>
        <v>-0.2857142857142857</v>
      </c>
      <c r="I29" s="40">
        <f>+'New Year-Full Year'!T34</f>
        <v>951.85</v>
      </c>
      <c r="J29" s="40">
        <f>+'New Year-Full Year'!U34</f>
        <v>1283.3699999999999</v>
      </c>
      <c r="K29" s="6">
        <f t="shared" si="5"/>
        <v>-0.25831989215892526</v>
      </c>
    </row>
    <row r="30" spans="1:11" x14ac:dyDescent="0.3">
      <c r="A30" s="47">
        <v>32</v>
      </c>
      <c r="C30" s="1" t="str">
        <f>+'New Year-Full Year'!C35</f>
        <v>Vacation Bible School</v>
      </c>
      <c r="E30" s="40">
        <f>+'New Year-Full Year'!O35</f>
        <v>500</v>
      </c>
      <c r="F30" s="40">
        <f>+'New Year-Full Year'!P35</f>
        <v>600</v>
      </c>
      <c r="G30" s="6">
        <f t="shared" si="4"/>
        <v>-0.16666666666666666</v>
      </c>
      <c r="I30" s="40">
        <f>+'New Year-Full Year'!T35</f>
        <v>120.41</v>
      </c>
      <c r="J30" s="40">
        <f>+'New Year-Full Year'!U35</f>
        <v>600</v>
      </c>
      <c r="K30" s="6">
        <f t="shared" si="5"/>
        <v>-0.79931666666666668</v>
      </c>
    </row>
    <row r="31" spans="1:11" x14ac:dyDescent="0.3">
      <c r="A31" s="47">
        <v>33</v>
      </c>
      <c r="C31" s="1" t="str">
        <f>+'New Year-Full Year'!C36</f>
        <v>Library</v>
      </c>
      <c r="E31" s="40">
        <f>+'New Year-Full Year'!O36</f>
        <v>200</v>
      </c>
      <c r="F31" s="40">
        <f>+'New Year-Full Year'!P36</f>
        <v>500</v>
      </c>
      <c r="G31" s="6">
        <f t="shared" si="4"/>
        <v>-0.6</v>
      </c>
      <c r="I31" s="40">
        <f>+'New Year-Full Year'!T36</f>
        <v>497.05</v>
      </c>
      <c r="J31" s="40">
        <f>+'New Year-Full Year'!U36</f>
        <v>458.37</v>
      </c>
      <c r="K31" s="6">
        <f t="shared" si="5"/>
        <v>8.4385976394615717E-2</v>
      </c>
    </row>
    <row r="32" spans="1:11" x14ac:dyDescent="0.3">
      <c r="A32" s="47">
        <v>34</v>
      </c>
      <c r="C32" s="1" t="str">
        <f>+'New Year-Full Year'!C37</f>
        <v>First Communion</v>
      </c>
      <c r="E32" s="40">
        <f>+'New Year-Full Year'!O37</f>
        <v>200</v>
      </c>
      <c r="F32" s="40">
        <f>+'New Year-Full Year'!P37</f>
        <v>400</v>
      </c>
      <c r="G32" s="6">
        <f t="shared" si="4"/>
        <v>-0.5</v>
      </c>
      <c r="I32" s="40">
        <f>+'New Year-Full Year'!T37</f>
        <v>165.99</v>
      </c>
      <c r="J32" s="40">
        <f>+'New Year-Full Year'!U37</f>
        <v>400</v>
      </c>
      <c r="K32" s="6">
        <f t="shared" si="5"/>
        <v>-0.58502500000000002</v>
      </c>
    </row>
    <row r="33" spans="1:11" x14ac:dyDescent="0.3">
      <c r="C33" s="1" t="str">
        <f>+'New Year-Full Year'!C38</f>
        <v>Adult Education</v>
      </c>
      <c r="E33" s="40">
        <f>+'New Year-Full Year'!O38</f>
        <v>750</v>
      </c>
      <c r="F33" s="40">
        <f>+'New Year-Full Year'!P38</f>
        <v>750</v>
      </c>
      <c r="G33" s="6">
        <f t="shared" si="4"/>
        <v>0</v>
      </c>
      <c r="I33" s="40">
        <f>+'New Year-Full Year'!T38</f>
        <v>901.02</v>
      </c>
      <c r="J33" s="40">
        <f>+'New Year-Full Year'!U38</f>
        <v>687.5</v>
      </c>
      <c r="K33" s="6">
        <f t="shared" ref="K33" si="6">IF(J33=0,"NA",(+I33-J33)/J33)</f>
        <v>0.31057454545454544</v>
      </c>
    </row>
    <row r="34" spans="1:11" x14ac:dyDescent="0.3">
      <c r="A34" s="47">
        <v>35</v>
      </c>
      <c r="C34" s="1" t="str">
        <f>+'New Year-Full Year'!C39</f>
        <v>Cradle Roll</v>
      </c>
      <c r="E34" s="40">
        <f>+'New Year-Full Year'!O39</f>
        <v>200</v>
      </c>
      <c r="F34" s="40">
        <f>+'New Year-Full Year'!P39</f>
        <v>400</v>
      </c>
      <c r="G34" s="6">
        <f t="shared" si="4"/>
        <v>-0.5</v>
      </c>
      <c r="I34" s="40">
        <f>+'New Year-Full Year'!T39</f>
        <v>305.16000000000003</v>
      </c>
      <c r="J34" s="40">
        <f>+'New Year-Full Year'!U39</f>
        <v>400</v>
      </c>
      <c r="K34" s="6">
        <f t="shared" si="5"/>
        <v>-0.23709999999999995</v>
      </c>
    </row>
    <row r="35" spans="1:11" s="4" customFormat="1" x14ac:dyDescent="0.3">
      <c r="A35" s="47">
        <v>36</v>
      </c>
      <c r="B35" s="39" t="s">
        <v>22</v>
      </c>
      <c r="C35" s="39"/>
      <c r="D35" s="39"/>
      <c r="E35" s="39">
        <f>SUM(E28:E34)</f>
        <v>4850</v>
      </c>
      <c r="F35" s="39">
        <f>SUM(F28:F34)</f>
        <v>7050</v>
      </c>
      <c r="G35" s="23">
        <f t="shared" si="4"/>
        <v>-0.31205673758865249</v>
      </c>
      <c r="I35" s="39">
        <f>SUM(I28:I34)</f>
        <v>3634.2999999999997</v>
      </c>
      <c r="J35" s="39">
        <f>SUM(J28:J34)</f>
        <v>6579.24</v>
      </c>
      <c r="K35" s="23">
        <f t="shared" si="5"/>
        <v>-0.44761097026404267</v>
      </c>
    </row>
    <row r="36" spans="1:11" ht="6" customHeight="1" x14ac:dyDescent="0.3">
      <c r="A36" s="47">
        <v>37</v>
      </c>
      <c r="G36" s="42"/>
    </row>
    <row r="37" spans="1:11" x14ac:dyDescent="0.3">
      <c r="A37" s="47">
        <v>40</v>
      </c>
      <c r="B37" s="4" t="s">
        <v>172</v>
      </c>
      <c r="G37" s="42"/>
    </row>
    <row r="38" spans="1:11" x14ac:dyDescent="0.3">
      <c r="A38" s="47">
        <v>41</v>
      </c>
      <c r="C38" s="1" t="str">
        <f>+'New Year-Full Year'!C43</f>
        <v>Worship Supplies</v>
      </c>
      <c r="E38" s="40">
        <f>+'New Year-Full Year'!O43</f>
        <v>5000</v>
      </c>
      <c r="F38" s="40">
        <f>+'New Year-Full Year'!P43</f>
        <v>6000</v>
      </c>
      <c r="G38" s="6">
        <f>IF(F38=0,"NA",(+E38-F38)/F38)</f>
        <v>-0.16666666666666666</v>
      </c>
      <c r="I38" s="40">
        <f>+'New Year-Full Year'!T43</f>
        <v>3756.68</v>
      </c>
      <c r="J38" s="40">
        <f>+'New Year-Full Year'!U43</f>
        <v>5500</v>
      </c>
      <c r="K38" s="6">
        <f>IF(J38=0,"NA",(+I38-J38)/J38)</f>
        <v>-0.31696727272727276</v>
      </c>
    </row>
    <row r="39" spans="1:11" x14ac:dyDescent="0.3">
      <c r="A39" s="47">
        <v>43</v>
      </c>
      <c r="C39" s="1" t="str">
        <f>+'New Year-Full Year'!C45</f>
        <v>Children's Services</v>
      </c>
      <c r="E39" s="40">
        <f>+'New Year-Full Year'!O45</f>
        <v>100</v>
      </c>
      <c r="F39" s="40">
        <f>+'New Year-Full Year'!P45</f>
        <v>200</v>
      </c>
      <c r="G39" s="6">
        <f>IF(F39=0,"NA",(+E39-F39)/F39)</f>
        <v>-0.5</v>
      </c>
      <c r="I39" s="40">
        <f>+'New Year-Full Year'!T45</f>
        <v>48.91</v>
      </c>
      <c r="J39" s="40">
        <f>+'New Year-Full Year'!U45</f>
        <v>183.37</v>
      </c>
      <c r="K39" s="6">
        <f>IF(J39=0,"NA",(+I39-J39)/J39)</f>
        <v>-0.73327152751267932</v>
      </c>
    </row>
    <row r="40" spans="1:11" x14ac:dyDescent="0.3">
      <c r="A40" s="47">
        <v>44</v>
      </c>
      <c r="C40" s="1" t="str">
        <f>+'New Year-Full Year'!C46</f>
        <v>Flowers</v>
      </c>
      <c r="E40" s="40">
        <f>+'New Year-Full Year'!O46</f>
        <v>200</v>
      </c>
      <c r="F40" s="40">
        <f>+'New Year-Full Year'!P46</f>
        <v>200</v>
      </c>
      <c r="G40" s="6">
        <f>IF(F40=0,"NA",(+E40-F40)/F40)</f>
        <v>0</v>
      </c>
      <c r="I40" s="40">
        <f>+'New Year-Full Year'!T46</f>
        <v>134.5</v>
      </c>
      <c r="J40" s="40">
        <f>+'New Year-Full Year'!U46</f>
        <v>183.37</v>
      </c>
      <c r="K40" s="6">
        <f>IF(J40=0,"NA",(+I40-J40)/J40)</f>
        <v>-0.26651033429677701</v>
      </c>
    </row>
    <row r="41" spans="1:11" s="4" customFormat="1" x14ac:dyDescent="0.3">
      <c r="A41" s="47">
        <v>45</v>
      </c>
      <c r="B41" s="39" t="s">
        <v>173</v>
      </c>
      <c r="C41" s="39"/>
      <c r="D41" s="39"/>
      <c r="E41" s="39">
        <f>SUM(E38:E40)</f>
        <v>5300</v>
      </c>
      <c r="F41" s="39">
        <f>SUM(F38:F40)</f>
        <v>6400</v>
      </c>
      <c r="G41" s="23">
        <f>IF(F41=0,"NA",(+E41-F41)/F41)</f>
        <v>-0.171875</v>
      </c>
      <c r="I41" s="39">
        <f>SUM(I38:I40)</f>
        <v>3940.0899999999997</v>
      </c>
      <c r="J41" s="39">
        <f>SUM(J38:J40)</f>
        <v>5866.74</v>
      </c>
      <c r="K41" s="23">
        <f>IF(J41=0,"NA",(+I41-J41)/J41)</f>
        <v>-0.32840214497318787</v>
      </c>
    </row>
    <row r="42" spans="1:11" ht="6.75" customHeight="1" x14ac:dyDescent="0.3">
      <c r="A42" s="47">
        <v>46</v>
      </c>
      <c r="G42" s="42"/>
    </row>
    <row r="43" spans="1:11" s="4" customFormat="1" x14ac:dyDescent="0.3">
      <c r="A43" s="47">
        <v>51</v>
      </c>
      <c r="B43" s="39" t="s">
        <v>26</v>
      </c>
      <c r="C43" s="39"/>
      <c r="D43" s="39"/>
      <c r="E43" s="39">
        <f>+'New Year-Full Year'!O49</f>
        <v>12800</v>
      </c>
      <c r="F43" s="39">
        <f>+'New Year-Full Year'!P49</f>
        <v>11000</v>
      </c>
      <c r="G43" s="23">
        <f>IF(F43=0,"NA",(+E43-F43)/F43)</f>
        <v>0.16363636363636364</v>
      </c>
      <c r="I43" s="39">
        <f>+'New Year-Full Year'!T49</f>
        <v>9815.24</v>
      </c>
      <c r="J43" s="39">
        <f>+'New Year-Full Year'!U49</f>
        <v>10600</v>
      </c>
      <c r="K43" s="23">
        <f>IF(J43=0,"NA",(+I43-J43)/J43)</f>
        <v>-7.403396226415096E-2</v>
      </c>
    </row>
    <row r="44" spans="1:11" ht="6.75" customHeight="1" x14ac:dyDescent="0.3">
      <c r="A44" s="47">
        <v>52</v>
      </c>
      <c r="G44" s="42"/>
    </row>
    <row r="45" spans="1:11" x14ac:dyDescent="0.3">
      <c r="A45" s="47">
        <v>53</v>
      </c>
      <c r="B45" s="4" t="s">
        <v>99</v>
      </c>
      <c r="G45" s="42"/>
    </row>
    <row r="46" spans="1:11" x14ac:dyDescent="0.3">
      <c r="A46" s="47">
        <v>54</v>
      </c>
      <c r="C46" s="1" t="str">
        <f>+'New Year-Full Year'!C52</f>
        <v>Church Membership Activities</v>
      </c>
      <c r="E46" s="40">
        <f>+'New Year-Full Year'!O52</f>
        <v>400</v>
      </c>
      <c r="F46" s="40">
        <f>+'New Year-Full Year'!P52</f>
        <v>400</v>
      </c>
      <c r="G46" s="6">
        <f>IF(F46=0,"NA",(+E46-F46)/F46)</f>
        <v>0</v>
      </c>
      <c r="I46" s="40">
        <f>+'New Year-Full Year'!T52</f>
        <v>-203.82</v>
      </c>
      <c r="J46" s="40">
        <f>+'New Year-Full Year'!U52</f>
        <v>366.63</v>
      </c>
      <c r="K46" s="6">
        <f>IF(J46=0,"NA",(+I46-J46)/J46)</f>
        <v>-1.5559283201047378</v>
      </c>
    </row>
    <row r="47" spans="1:11" x14ac:dyDescent="0.3">
      <c r="A47" s="47">
        <v>55</v>
      </c>
      <c r="C47" s="1" t="str">
        <f>+'New Year-Full Year'!C53</f>
        <v>Sunday Coffee</v>
      </c>
      <c r="E47" s="40">
        <f>+'New Year-Full Year'!O53</f>
        <v>150</v>
      </c>
      <c r="F47" s="40">
        <f>+'New Year-Full Year'!P53</f>
        <v>500</v>
      </c>
      <c r="G47" s="6">
        <f>IF(F47=0,"NA",(+E47-F47)/F47)</f>
        <v>-0.7</v>
      </c>
      <c r="I47" s="40">
        <f>+'New Year-Full Year'!T53</f>
        <v>58.27</v>
      </c>
      <c r="J47" s="40">
        <f>+'New Year-Full Year'!U53</f>
        <v>458.37</v>
      </c>
      <c r="K47" s="6">
        <f>IF(J47=0,"NA",(+I47-J47)/J47)</f>
        <v>-0.87287562449549494</v>
      </c>
    </row>
    <row r="48" spans="1:11" s="4" customFormat="1" x14ac:dyDescent="0.3">
      <c r="A48" s="47">
        <v>56</v>
      </c>
      <c r="B48" s="39" t="s">
        <v>95</v>
      </c>
      <c r="C48" s="39"/>
      <c r="D48" s="39"/>
      <c r="E48" s="39">
        <f>SUM(E46:E47)</f>
        <v>550</v>
      </c>
      <c r="F48" s="39">
        <f>SUM(F46:F47)</f>
        <v>900</v>
      </c>
      <c r="G48" s="23">
        <f>IF(F48=0,"NA",(+E48-F48)/F48)</f>
        <v>-0.3888888888888889</v>
      </c>
      <c r="I48" s="39">
        <f>SUM(I46:I47)</f>
        <v>-145.54999999999998</v>
      </c>
      <c r="J48" s="39">
        <f>SUM(J46:J47)</f>
        <v>825</v>
      </c>
      <c r="K48" s="23">
        <f>IF(J48=0,"NA",(+I48-J48)/J48)</f>
        <v>-1.1764242424242424</v>
      </c>
    </row>
    <row r="49" spans="1:11" ht="5.25" customHeight="1" x14ac:dyDescent="0.3">
      <c r="A49" s="47">
        <v>57</v>
      </c>
      <c r="G49" s="42"/>
    </row>
    <row r="50" spans="1:11" x14ac:dyDescent="0.3">
      <c r="A50" s="47">
        <v>58</v>
      </c>
      <c r="B50" s="39" t="s">
        <v>27</v>
      </c>
      <c r="C50" s="24"/>
      <c r="D50" s="24"/>
      <c r="E50" s="49">
        <f>+'New Year-Full Year'!O56</f>
        <v>200</v>
      </c>
      <c r="F50" s="49">
        <f>+'New Year-Full Year'!P56</f>
        <v>250</v>
      </c>
      <c r="G50" s="23">
        <f>IF(F50=0,"NA",(+E50-F50)/F50)</f>
        <v>-0.2</v>
      </c>
      <c r="I50" s="49">
        <f>+'New Year-Full Year'!T56</f>
        <v>300</v>
      </c>
      <c r="J50" s="49">
        <f>+'New Year-Full Year'!U56</f>
        <v>250</v>
      </c>
      <c r="K50" s="23">
        <f>IF(J50=0,"NA",(+I50-J50)/J50)</f>
        <v>0.2</v>
      </c>
    </row>
    <row r="51" spans="1:11" ht="6" customHeight="1" x14ac:dyDescent="0.3">
      <c r="A51" s="47">
        <v>59</v>
      </c>
      <c r="G51" s="42"/>
    </row>
    <row r="52" spans="1:11" x14ac:dyDescent="0.3">
      <c r="A52" s="47">
        <v>60</v>
      </c>
      <c r="B52" s="4" t="s">
        <v>28</v>
      </c>
      <c r="G52" s="42"/>
    </row>
    <row r="53" spans="1:11" x14ac:dyDescent="0.3">
      <c r="A53" s="47">
        <v>61</v>
      </c>
      <c r="C53" s="1" t="str">
        <f>+'New Year-Full Year'!C59</f>
        <v>Stewardship</v>
      </c>
      <c r="E53" s="40">
        <f>+'New Year-Full Year'!O59</f>
        <v>200</v>
      </c>
      <c r="F53" s="40">
        <f>+'New Year-Full Year'!P59</f>
        <v>200</v>
      </c>
      <c r="G53" s="6">
        <f t="shared" ref="G53:G59" si="7">IF(F53=0,"NA",(+E53-F53)/F53)</f>
        <v>0</v>
      </c>
      <c r="I53" s="40">
        <f>+'New Year-Full Year'!T59</f>
        <v>63.25</v>
      </c>
      <c r="J53" s="40">
        <f>+'New Year-Full Year'!U59</f>
        <v>200</v>
      </c>
      <c r="K53" s="6">
        <f t="shared" ref="K53:K59" si="8">IF(J53=0,"NA",(+I53-J53)/J53)</f>
        <v>-0.68374999999999997</v>
      </c>
    </row>
    <row r="54" spans="1:11" x14ac:dyDescent="0.3">
      <c r="A54" s="47">
        <v>62</v>
      </c>
      <c r="C54" s="1" t="str">
        <f>+'New Year-Full Year'!C60</f>
        <v>Envelopes, Giving</v>
      </c>
      <c r="E54" s="40">
        <f>+'New Year-Full Year'!O60</f>
        <v>800</v>
      </c>
      <c r="F54" s="40">
        <f>+'New Year-Full Year'!P60</f>
        <v>800</v>
      </c>
      <c r="G54" s="6">
        <f t="shared" si="7"/>
        <v>0</v>
      </c>
      <c r="I54" s="40">
        <f>+'New Year-Full Year'!T60</f>
        <v>875.84</v>
      </c>
      <c r="J54" s="40">
        <f>+'New Year-Full Year'!U60</f>
        <v>800</v>
      </c>
      <c r="K54" s="6">
        <f t="shared" si="8"/>
        <v>9.4800000000000037E-2</v>
      </c>
    </row>
    <row r="55" spans="1:11" x14ac:dyDescent="0.3">
      <c r="A55" s="47">
        <v>63</v>
      </c>
      <c r="C55" s="1" t="str">
        <f>+'New Year-Full Year'!C61</f>
        <v>Synod Assembly</v>
      </c>
      <c r="E55" s="40">
        <f>+'New Year-Full Year'!O61</f>
        <v>1500</v>
      </c>
      <c r="F55" s="40">
        <f>+'New Year-Full Year'!P61</f>
        <v>2700</v>
      </c>
      <c r="G55" s="6">
        <f t="shared" si="7"/>
        <v>-0.44444444444444442</v>
      </c>
      <c r="I55" s="40">
        <f>+'New Year-Full Year'!T61</f>
        <v>1334</v>
      </c>
      <c r="J55" s="40">
        <f>+'New Year-Full Year'!U61</f>
        <v>2700</v>
      </c>
      <c r="K55" s="6">
        <f t="shared" si="8"/>
        <v>-0.50592592592592589</v>
      </c>
    </row>
    <row r="56" spans="1:11" x14ac:dyDescent="0.3">
      <c r="A56" s="47">
        <v>64</v>
      </c>
      <c r="C56" s="1" t="str">
        <f>+'New Year-Full Year'!C62</f>
        <v>Evangelism</v>
      </c>
      <c r="E56" s="40">
        <f>+'New Year-Full Year'!O62</f>
        <v>3000</v>
      </c>
      <c r="F56" s="40">
        <f>+'New Year-Full Year'!P62</f>
        <v>10000</v>
      </c>
      <c r="G56" s="6">
        <f t="shared" si="7"/>
        <v>-0.7</v>
      </c>
      <c r="I56" s="40">
        <f>+'New Year-Full Year'!T62</f>
        <v>380</v>
      </c>
      <c r="J56" s="40">
        <f>+'New Year-Full Year'!U62</f>
        <v>9166.6299999999992</v>
      </c>
      <c r="K56" s="6">
        <f t="shared" si="8"/>
        <v>-0.95854528872660949</v>
      </c>
    </row>
    <row r="57" spans="1:11" x14ac:dyDescent="0.3">
      <c r="C57" s="1" t="str">
        <f>+'New Year-Full Year'!C63</f>
        <v>Misc Expenses</v>
      </c>
      <c r="E57" s="40">
        <f>+'New Year-Full Year'!O63</f>
        <v>200</v>
      </c>
      <c r="F57" s="40">
        <f>+'New Year-Full Year'!P63</f>
        <v>300</v>
      </c>
      <c r="G57" s="6">
        <f t="shared" ref="G57" si="9">IF(F57=0,"NA",(+E57-F57)/F57)</f>
        <v>-0.33333333333333331</v>
      </c>
      <c r="I57" s="40">
        <f>+'New Year-Full Year'!T63</f>
        <v>179.14</v>
      </c>
      <c r="J57" s="40">
        <f>+'New Year-Full Year'!U63</f>
        <v>275</v>
      </c>
      <c r="K57" s="6">
        <f t="shared" ref="K57" si="10">IF(J57=0,"NA",(+I57-J57)/J57)</f>
        <v>-0.34858181818181821</v>
      </c>
    </row>
    <row r="58" spans="1:11" x14ac:dyDescent="0.3">
      <c r="A58" s="47">
        <v>65</v>
      </c>
      <c r="C58" s="1" t="str">
        <f>+'New Year-Full Year'!C64</f>
        <v>Organ/Piano Maintenance</v>
      </c>
      <c r="E58" s="40">
        <f>+'New Year-Full Year'!O64</f>
        <v>1000</v>
      </c>
      <c r="F58" s="40">
        <f>+'New Year-Full Year'!P64</f>
        <v>800</v>
      </c>
      <c r="G58" s="6">
        <f t="shared" si="7"/>
        <v>0.25</v>
      </c>
      <c r="I58" s="40">
        <f>+'New Year-Full Year'!T64</f>
        <v>1052</v>
      </c>
      <c r="J58" s="40">
        <f>+'New Year-Full Year'!U64</f>
        <v>800</v>
      </c>
      <c r="K58" s="6">
        <f t="shared" si="8"/>
        <v>0.315</v>
      </c>
    </row>
    <row r="59" spans="1:11" s="4" customFormat="1" x14ac:dyDescent="0.3">
      <c r="A59" s="47">
        <v>66</v>
      </c>
      <c r="B59" s="39" t="s">
        <v>33</v>
      </c>
      <c r="C59" s="39"/>
      <c r="D59" s="39"/>
      <c r="E59" s="39">
        <f>SUM(E53:E58)</f>
        <v>6700</v>
      </c>
      <c r="F59" s="39">
        <f>SUM(F53:F58)</f>
        <v>14800</v>
      </c>
      <c r="G59" s="23">
        <f t="shared" si="7"/>
        <v>-0.54729729729729726</v>
      </c>
      <c r="I59" s="39">
        <f>SUM(I53:I58)</f>
        <v>3884.23</v>
      </c>
      <c r="J59" s="39">
        <f>SUM(J53:J58)</f>
        <v>13941.63</v>
      </c>
      <c r="K59" s="23">
        <f t="shared" si="8"/>
        <v>-0.72139340952241593</v>
      </c>
    </row>
    <row r="60" spans="1:11" ht="6" customHeight="1" x14ac:dyDescent="0.3">
      <c r="A60" s="47">
        <v>67</v>
      </c>
      <c r="G60" s="42"/>
    </row>
    <row r="61" spans="1:11" x14ac:dyDescent="0.3">
      <c r="A61" s="47">
        <v>68</v>
      </c>
      <c r="B61" s="4" t="s">
        <v>34</v>
      </c>
      <c r="G61" s="42"/>
    </row>
    <row r="62" spans="1:11" x14ac:dyDescent="0.3">
      <c r="A62" s="47">
        <v>69</v>
      </c>
      <c r="C62" s="1" t="str">
        <f>+'New Year-Full Year'!C68</f>
        <v>Office Supplies</v>
      </c>
      <c r="E62" s="40">
        <f>+'New Year-Full Year'!O68</f>
        <v>3000</v>
      </c>
      <c r="F62" s="40">
        <f>+'New Year-Full Year'!P68</f>
        <v>4700</v>
      </c>
      <c r="G62" s="6">
        <f t="shared" ref="G62:G68" si="11">IF(F62=0,"NA",(+E62-F62)/F62)</f>
        <v>-0.36170212765957449</v>
      </c>
      <c r="I62" s="40">
        <f>+'New Year-Full Year'!T68</f>
        <v>2832.35</v>
      </c>
      <c r="J62" s="40">
        <f>+'New Year-Full Year'!U68</f>
        <v>4308.37</v>
      </c>
      <c r="K62" s="6">
        <f t="shared" ref="K62:K68" si="12">IF(J62=0,"NA",(+I62-J62)/J62)</f>
        <v>-0.34259360268500616</v>
      </c>
    </row>
    <row r="63" spans="1:11" x14ac:dyDescent="0.3">
      <c r="A63" s="47">
        <v>70</v>
      </c>
      <c r="C63" s="1" t="str">
        <f>+'New Year-Full Year'!C69</f>
        <v>Postage</v>
      </c>
      <c r="E63" s="40">
        <f>+'New Year-Full Year'!O69</f>
        <v>3250</v>
      </c>
      <c r="F63" s="40">
        <f>+'New Year-Full Year'!P69</f>
        <v>4000</v>
      </c>
      <c r="G63" s="6">
        <f t="shared" si="11"/>
        <v>-0.1875</v>
      </c>
      <c r="I63" s="40">
        <f>+'New Year-Full Year'!T69</f>
        <v>3123.62</v>
      </c>
      <c r="J63" s="40">
        <f>+'New Year-Full Year'!U69</f>
        <v>3666.63</v>
      </c>
      <c r="K63" s="6">
        <f t="shared" si="12"/>
        <v>-0.14809511731480957</v>
      </c>
    </row>
    <row r="64" spans="1:11" x14ac:dyDescent="0.3">
      <c r="A64" s="47">
        <v>73</v>
      </c>
      <c r="C64" s="1" t="str">
        <f>+'New Year-Full Year'!C70</f>
        <v>Office Equipment/Computer</v>
      </c>
      <c r="E64" s="40">
        <f>+'New Year-Full Year'!O70</f>
        <v>13000</v>
      </c>
      <c r="F64" s="40">
        <f>+'New Year-Full Year'!P70</f>
        <v>16000</v>
      </c>
      <c r="G64" s="6">
        <f t="shared" si="11"/>
        <v>-0.1875</v>
      </c>
      <c r="I64" s="40">
        <f>+'New Year-Full Year'!T70</f>
        <v>11853.9</v>
      </c>
      <c r="J64" s="40">
        <f>+'New Year-Full Year'!U70</f>
        <v>14666.63</v>
      </c>
      <c r="K64" s="6">
        <f t="shared" si="12"/>
        <v>-0.19177752489835767</v>
      </c>
    </row>
    <row r="65" spans="1:13" x14ac:dyDescent="0.3">
      <c r="A65" s="47">
        <v>74</v>
      </c>
      <c r="C65" s="1" t="str">
        <f>+'New Year-Full Year'!C71</f>
        <v>Kitchen Supplies</v>
      </c>
      <c r="E65" s="40">
        <f>+'New Year-Full Year'!O71</f>
        <v>700</v>
      </c>
      <c r="F65" s="40">
        <f>+'New Year-Full Year'!P71</f>
        <v>700</v>
      </c>
      <c r="G65" s="6">
        <f t="shared" si="11"/>
        <v>0</v>
      </c>
      <c r="I65" s="40">
        <f>+'New Year-Full Year'!T71</f>
        <v>1151.6500000000001</v>
      </c>
      <c r="J65" s="40">
        <f>+'New Year-Full Year'!U71</f>
        <v>641.63</v>
      </c>
      <c r="K65" s="6">
        <f t="shared" si="12"/>
        <v>0.7948817854526754</v>
      </c>
    </row>
    <row r="66" spans="1:13" x14ac:dyDescent="0.3">
      <c r="A66" s="47">
        <v>75</v>
      </c>
      <c r="C66" s="1" t="str">
        <f>+'New Year-Full Year'!C72</f>
        <v>Bank Fees</v>
      </c>
      <c r="E66" s="40">
        <f>+'New Year-Full Year'!O72</f>
        <v>1000</v>
      </c>
      <c r="F66" s="40">
        <f>+'New Year-Full Year'!P72</f>
        <v>1600</v>
      </c>
      <c r="G66" s="6">
        <f t="shared" si="11"/>
        <v>-0.375</v>
      </c>
      <c r="I66" s="40">
        <f>+'New Year-Full Year'!T72</f>
        <v>1248.3699999999999</v>
      </c>
      <c r="J66" s="40">
        <f>+'New Year-Full Year'!U72</f>
        <v>1466.63</v>
      </c>
      <c r="K66" s="6">
        <f t="shared" si="12"/>
        <v>-0.14881735679755645</v>
      </c>
    </row>
    <row r="67" spans="1:13" s="4" customFormat="1" x14ac:dyDescent="0.3">
      <c r="A67" s="47">
        <v>76</v>
      </c>
      <c r="B67" s="39" t="s">
        <v>41</v>
      </c>
      <c r="C67" s="39"/>
      <c r="D67" s="39"/>
      <c r="E67" s="39">
        <f>SUM(E62:E66)</f>
        <v>20950</v>
      </c>
      <c r="F67" s="39">
        <f>SUM(F62:F66)</f>
        <v>27000</v>
      </c>
      <c r="G67" s="23">
        <f t="shared" si="11"/>
        <v>-0.22407407407407406</v>
      </c>
      <c r="I67" s="39">
        <f>SUM(I62:I66)</f>
        <v>20209.89</v>
      </c>
      <c r="J67" s="39">
        <f>SUM(J62:J66)</f>
        <v>24749.89</v>
      </c>
      <c r="K67" s="23">
        <f t="shared" si="12"/>
        <v>-0.18343515870171545</v>
      </c>
    </row>
    <row r="68" spans="1:13" x14ac:dyDescent="0.3">
      <c r="A68" s="47">
        <v>77</v>
      </c>
      <c r="B68" s="39" t="s">
        <v>94</v>
      </c>
      <c r="C68" s="25"/>
      <c r="D68" s="25"/>
      <c r="E68" s="39">
        <f>+E35+E41+E43+E50+E59+E67+E48</f>
        <v>51350</v>
      </c>
      <c r="F68" s="39">
        <f>+F35+F41+F43+F50+F59+F67+F48</f>
        <v>67400</v>
      </c>
      <c r="G68" s="23">
        <f t="shared" si="11"/>
        <v>-0.23813056379821959</v>
      </c>
      <c r="I68" s="39">
        <f>+I35+I41+I43+I50+I59+I67+I48</f>
        <v>41638.199999999997</v>
      </c>
      <c r="J68" s="39">
        <f>+J35+J41+J43+J50+J59+J67+J48</f>
        <v>62812.5</v>
      </c>
      <c r="K68" s="23">
        <f t="shared" si="12"/>
        <v>-0.33710328358208957</v>
      </c>
    </row>
    <row r="69" spans="1:13" ht="8.25" customHeight="1" x14ac:dyDescent="0.3">
      <c r="A69" s="47">
        <v>78</v>
      </c>
      <c r="G69" s="42"/>
    </row>
    <row r="70" spans="1:13" ht="18" x14ac:dyDescent="0.3">
      <c r="A70" s="47">
        <v>79</v>
      </c>
      <c r="B70" s="9" t="s">
        <v>40</v>
      </c>
      <c r="G70" s="42"/>
    </row>
    <row r="71" spans="1:13" x14ac:dyDescent="0.3">
      <c r="A71" s="47">
        <v>81</v>
      </c>
      <c r="C71" s="172" t="s">
        <v>263</v>
      </c>
      <c r="D71" s="172"/>
      <c r="E71" s="40">
        <f>+'New Year-Full Year'!O$78+'New Year-Full Year'!O$80+'New Year-Full Year'!O$96+'New Year-Full Year'!O$103+'New Year-Full Year'!O$106+'New Year-Full Year'!O$124+'New Year-Full Year'!O$127+'New Year-Full Year'!O$128+'New Year-Full Year'!O$134+'New Year-Full Year'!O$138+'New Year-Full Year'!O$133+'New Year-Full Year'!O$135+'New Year-Full Year'!O$91</f>
        <v>258281</v>
      </c>
      <c r="F71" s="40">
        <f>+'New Year-Full Year'!P$78+'New Year-Full Year'!P$80+'New Year-Full Year'!P$96+'New Year-Full Year'!P$103+'New Year-Full Year'!P$106+'New Year-Full Year'!P$124+'New Year-Full Year'!P$127+'New Year-Full Year'!P$128+'New Year-Full Year'!P$134+'New Year-Full Year'!P$138+'New Year-Full Year'!P$133+'New Year-Full Year'!P$135+'New Year-Full Year'!P$91</f>
        <v>246818.655</v>
      </c>
      <c r="G71" s="6">
        <f>IF(F71=0,"NA",(+E71-F71)/F71)</f>
        <v>4.6440351115275308E-2</v>
      </c>
      <c r="I71" s="40">
        <f>+'New Year-Full Year'!T$78+'New Year-Full Year'!T$80+'New Year-Full Year'!T$96+'New Year-Full Year'!T$103+'New Year-Full Year'!T$106+'New Year-Full Year'!T$124+'New Year-Full Year'!T$127+'New Year-Full Year'!T$128+'New Year-Full Year'!T$134+'New Year-Full Year'!T$138+'New Year-Full Year'!T$133+'New Year-Full Year'!T$135+'New Year-Full Year'!T$91</f>
        <v>224045.26</v>
      </c>
      <c r="J71" s="40">
        <f>+'New Year-Full Year'!U$78+'New Year-Full Year'!U$80+'New Year-Full Year'!U$96+'New Year-Full Year'!U$103+'New Year-Full Year'!U$106+'New Year-Full Year'!U$124+'New Year-Full Year'!U$127+'New Year-Full Year'!U$128+'New Year-Full Year'!U$134+'New Year-Full Year'!U$138+'New Year-Full Year'!U$133+'New Year-Full Year'!U$135+'New Year-Full Year'!U$91</f>
        <v>226216.87999999995</v>
      </c>
      <c r="K71" s="6">
        <f t="shared" ref="K71:K74" si="13">IF(J71=0,"NA",(+I71-J71)/J71)</f>
        <v>-9.5997257145441026E-3</v>
      </c>
      <c r="M71" s="54"/>
    </row>
    <row r="72" spans="1:13" x14ac:dyDescent="0.3">
      <c r="A72" s="47">
        <v>83</v>
      </c>
      <c r="C72" s="1" t="s">
        <v>107</v>
      </c>
      <c r="E72" s="40">
        <f>+'New Year-Full Year'!O81+'New Year-Full Year'!O82+'New Year-Full Year'!O83+'New Year-Full Year'!O84+'New Year-Full Year'!O85+'New Year-Full Year'!O87+'New Year-Full Year'!O107+'New Year-Full Year'!O108+'New Year-Full Year'!O109+'New Year-Full Year'!O112+'New Year-Full Year'!O136+'New Year-Full Year'!O137</f>
        <v>52470</v>
      </c>
      <c r="F72" s="40">
        <f>+'New Year-Full Year'!P81+'New Year-Full Year'!P82+'New Year-Full Year'!P83+'New Year-Full Year'!P84+'New Year-Full Year'!P85+'New Year-Full Year'!P87+'New Year-Full Year'!P107+'New Year-Full Year'!P108+'New Year-Full Year'!P109+'New Year-Full Year'!P112+'New Year-Full Year'!P136+'New Year-Full Year'!P137</f>
        <v>43123.478604999997</v>
      </c>
      <c r="G72" s="6">
        <f>IF(F72=0,"NA",(+E72-F72)/F72)</f>
        <v>0.21673857715913278</v>
      </c>
      <c r="I72" s="40">
        <f>+'New Year-Full Year'!T81+'New Year-Full Year'!T82+'New Year-Full Year'!T83+'New Year-Full Year'!T84+'New Year-Full Year'!T85+'New Year-Full Year'!T87+'New Year-Full Year'!T107+'New Year-Full Year'!T108+'New Year-Full Year'!T109+'New Year-Full Year'!T112+'New Year-Full Year'!T136+'New Year-Full Year'!T137</f>
        <v>30244.61</v>
      </c>
      <c r="J72" s="40">
        <f>+'New Year-Full Year'!U81+'New Year-Full Year'!U82+'New Year-Full Year'!U83+'New Year-Full Year'!U84+'New Year-Full Year'!U85+'New Year-Full Year'!U87+'New Year-Full Year'!U107+'New Year-Full Year'!U108+'New Year-Full Year'!U109+'New Year-Full Year'!U112+'New Year-Full Year'!U136+'New Year-Full Year'!U137</f>
        <v>38707.850000000006</v>
      </c>
      <c r="K72" s="6">
        <f t="shared" si="13"/>
        <v>-0.2186440218198635</v>
      </c>
    </row>
    <row r="73" spans="1:13" x14ac:dyDescent="0.3">
      <c r="A73" s="47">
        <v>84</v>
      </c>
      <c r="C73" s="1" t="s">
        <v>108</v>
      </c>
      <c r="E73" s="40">
        <f>+'New Year-Full Year'!O86+'New Year-Full Year'!O79+'New Year-Full Year'!O92+'New Year-Full Year'!O97+'New Year-Full Year'!O110+'New Year-Full Year'!O111+'New Year-Full Year'!O131+'New Year-Full Year'!O132</f>
        <v>5050</v>
      </c>
      <c r="F73" s="40">
        <f>+'New Year-Full Year'!P86+'New Year-Full Year'!P79+'New Year-Full Year'!P92+'New Year-Full Year'!P97+'New Year-Full Year'!P110+'New Year-Full Year'!P111+'New Year-Full Year'!P131+'New Year-Full Year'!P132</f>
        <v>5200</v>
      </c>
      <c r="G73" s="6">
        <f>IF(F73=0,"NA",(+E73-F73)/F73)</f>
        <v>-2.8846153846153848E-2</v>
      </c>
      <c r="I73" s="40">
        <f>+'New Year-Full Year'!T86+'New Year-Full Year'!T79+'New Year-Full Year'!T92+'New Year-Full Year'!T97+'New Year-Full Year'!T110+'New Year-Full Year'!T111+'New Year-Full Year'!T131+'New Year-Full Year'!T132</f>
        <v>1718.53</v>
      </c>
      <c r="J73" s="40">
        <f>+'New Year-Full Year'!U86+'New Year-Full Year'!U79+'New Year-Full Year'!U92+'New Year-Full Year'!U97+'New Year-Full Year'!U110+'New Year-Full Year'!U111+'New Year-Full Year'!U131+'New Year-Full Year'!U132</f>
        <v>4641.63</v>
      </c>
      <c r="K73" s="6">
        <f t="shared" si="13"/>
        <v>-0.62975721890801295</v>
      </c>
    </row>
    <row r="74" spans="1:13" s="4" customFormat="1" x14ac:dyDescent="0.3">
      <c r="A74" s="47">
        <v>86</v>
      </c>
      <c r="B74" s="26" t="s">
        <v>111</v>
      </c>
      <c r="C74" s="26"/>
      <c r="D74" s="26"/>
      <c r="E74" s="26">
        <f>SUM(E71:E73)</f>
        <v>315801</v>
      </c>
      <c r="F74" s="26">
        <f>SUM(F71:F73)</f>
        <v>295142.13360499998</v>
      </c>
      <c r="G74" s="27">
        <f>IF(F74=0,"NA",(+E74-F74)/F74)</f>
        <v>6.9996330726024264E-2</v>
      </c>
      <c r="I74" s="26">
        <f>SUM(I71:I73)</f>
        <v>256008.4</v>
      </c>
      <c r="J74" s="26">
        <f>SUM(J71:J73)</f>
        <v>269566.36</v>
      </c>
      <c r="K74" s="27">
        <f t="shared" si="13"/>
        <v>-5.0295444876727172E-2</v>
      </c>
    </row>
    <row r="75" spans="1:13" ht="8.25" customHeight="1" x14ac:dyDescent="0.3">
      <c r="A75" s="47">
        <v>129</v>
      </c>
      <c r="G75" s="42"/>
    </row>
    <row r="76" spans="1:13" ht="18" x14ac:dyDescent="0.3">
      <c r="A76" s="47">
        <v>130</v>
      </c>
      <c r="B76" s="9" t="s">
        <v>65</v>
      </c>
      <c r="G76" s="42"/>
    </row>
    <row r="77" spans="1:13" x14ac:dyDescent="0.3">
      <c r="A77" s="47">
        <v>131</v>
      </c>
      <c r="B77" s="4" t="s">
        <v>66</v>
      </c>
      <c r="G77" s="42"/>
    </row>
    <row r="78" spans="1:13" x14ac:dyDescent="0.3">
      <c r="A78" s="47">
        <v>132</v>
      </c>
      <c r="C78" s="1" t="str">
        <f>+'New Year-Full Year'!C144</f>
        <v>Electric</v>
      </c>
      <c r="E78" s="40">
        <f>+'New Year-Full Year'!O144</f>
        <v>8400</v>
      </c>
      <c r="F78" s="40">
        <f>+'New Year-Full Year'!P144</f>
        <v>9000</v>
      </c>
      <c r="G78" s="6">
        <f t="shared" ref="G78:G85" si="14">IF(F78=0,"NA",(+E78-F78)/F78)</f>
        <v>-6.6666666666666666E-2</v>
      </c>
      <c r="I78" s="40">
        <f>+'New Year-Full Year'!T144</f>
        <v>8394.94</v>
      </c>
      <c r="J78" s="40">
        <f>+'New Year-Full Year'!U144</f>
        <v>8452.15</v>
      </c>
      <c r="K78" s="6">
        <f t="shared" ref="K78:K85" si="15">IF(J78=0,"NA",(+I78-J78)/J78)</f>
        <v>-6.7686919896120072E-3</v>
      </c>
    </row>
    <row r="79" spans="1:13" x14ac:dyDescent="0.3">
      <c r="A79" s="47">
        <v>133</v>
      </c>
      <c r="C79" s="1" t="str">
        <f>+'New Year-Full Year'!C145</f>
        <v>Gas</v>
      </c>
      <c r="E79" s="40">
        <f>+'New Year-Full Year'!O145</f>
        <v>8000</v>
      </c>
      <c r="F79" s="40">
        <f>+'New Year-Full Year'!P145</f>
        <v>12000</v>
      </c>
      <c r="G79" s="6">
        <f t="shared" si="14"/>
        <v>-0.33333333333333331</v>
      </c>
      <c r="I79" s="40">
        <f>+'New Year-Full Year'!T145</f>
        <v>6309.42</v>
      </c>
      <c r="J79" s="40">
        <f>+'New Year-Full Year'!U145</f>
        <v>10858</v>
      </c>
      <c r="K79" s="6">
        <f t="shared" si="15"/>
        <v>-0.41891508565113278</v>
      </c>
    </row>
    <row r="80" spans="1:13" x14ac:dyDescent="0.3">
      <c r="A80" s="47">
        <v>134</v>
      </c>
      <c r="C80" s="1" t="str">
        <f>+'New Year-Full Year'!C146</f>
        <v>Telephone (and Internet)</v>
      </c>
      <c r="E80" s="40">
        <f>+'New Year-Full Year'!O146</f>
        <v>5000</v>
      </c>
      <c r="F80" s="40">
        <f>+'New Year-Full Year'!P146</f>
        <v>5976</v>
      </c>
      <c r="G80" s="6">
        <f t="shared" si="14"/>
        <v>-0.16331994645247658</v>
      </c>
      <c r="I80" s="40">
        <f>+'New Year-Full Year'!T146</f>
        <v>4806.96</v>
      </c>
      <c r="J80" s="40">
        <f>+'New Year-Full Year'!U146</f>
        <v>5478</v>
      </c>
      <c r="K80" s="6">
        <f t="shared" si="15"/>
        <v>-0.1224972617743702</v>
      </c>
    </row>
    <row r="81" spans="1:11" x14ac:dyDescent="0.3">
      <c r="A81" s="47">
        <v>135</v>
      </c>
      <c r="C81" s="1" t="str">
        <f>+'New Year-Full Year'!C147</f>
        <v>Water</v>
      </c>
      <c r="E81" s="40">
        <f>+'New Year-Full Year'!O147</f>
        <v>800</v>
      </c>
      <c r="F81" s="40">
        <f>+'New Year-Full Year'!P147</f>
        <v>800</v>
      </c>
      <c r="G81" s="6">
        <f t="shared" si="14"/>
        <v>0</v>
      </c>
      <c r="I81" s="40">
        <f>+'New Year-Full Year'!T147</f>
        <v>782.05</v>
      </c>
      <c r="J81" s="40">
        <f>+'New Year-Full Year'!U147</f>
        <v>800</v>
      </c>
      <c r="K81" s="6">
        <f t="shared" si="15"/>
        <v>-2.2437500000000058E-2</v>
      </c>
    </row>
    <row r="82" spans="1:11" x14ac:dyDescent="0.3">
      <c r="A82" s="47">
        <v>136</v>
      </c>
      <c r="C82" s="1" t="str">
        <f>+'New Year-Full Year'!C148</f>
        <v>Security</v>
      </c>
      <c r="E82" s="40">
        <f>+'New Year-Full Year'!O148</f>
        <v>300</v>
      </c>
      <c r="F82" s="40">
        <f>+'New Year-Full Year'!P148</f>
        <v>350</v>
      </c>
      <c r="G82" s="6">
        <f t="shared" si="14"/>
        <v>-0.14285714285714285</v>
      </c>
      <c r="I82" s="40">
        <f>+'New Year-Full Year'!T148</f>
        <v>263.39999999999998</v>
      </c>
      <c r="J82" s="40">
        <f>+'New Year-Full Year'!U148</f>
        <v>342.3</v>
      </c>
      <c r="K82" s="6">
        <f t="shared" si="15"/>
        <v>-0.23049956178790543</v>
      </c>
    </row>
    <row r="83" spans="1:11" x14ac:dyDescent="0.3">
      <c r="A83" s="47">
        <v>137</v>
      </c>
      <c r="C83" s="1" t="str">
        <f>+'New Year-Full Year'!C149</f>
        <v>Cell Phone</v>
      </c>
      <c r="E83" s="40">
        <f>+'New Year-Full Year'!O149</f>
        <v>2000</v>
      </c>
      <c r="F83" s="40">
        <f>+'New Year-Full Year'!P149</f>
        <v>2800</v>
      </c>
      <c r="G83" s="6">
        <f t="shared" si="14"/>
        <v>-0.2857142857142857</v>
      </c>
      <c r="I83" s="40">
        <f>+'New Year-Full Year'!T149</f>
        <v>1760.71</v>
      </c>
      <c r="J83" s="40">
        <f>+'New Year-Full Year'!U149</f>
        <v>2539.13</v>
      </c>
      <c r="K83" s="6">
        <f t="shared" si="15"/>
        <v>-0.30656957304273513</v>
      </c>
    </row>
    <row r="84" spans="1:11" x14ac:dyDescent="0.3">
      <c r="A84" s="47">
        <v>138</v>
      </c>
      <c r="C84" s="1" t="str">
        <f>+'New Year-Full Year'!C150</f>
        <v>City Assessment</v>
      </c>
      <c r="E84" s="40">
        <f>+'New Year-Full Year'!O150</f>
        <v>4500</v>
      </c>
      <c r="F84" s="40">
        <f>+'New Year-Full Year'!P150</f>
        <v>3900</v>
      </c>
      <c r="G84" s="6">
        <f t="shared" si="14"/>
        <v>0.15384615384615385</v>
      </c>
      <c r="I84" s="40">
        <f>+'New Year-Full Year'!T150</f>
        <v>4188.72</v>
      </c>
      <c r="J84" s="40">
        <f>+'New Year-Full Year'!U150</f>
        <v>3900</v>
      </c>
      <c r="K84" s="6">
        <f t="shared" si="15"/>
        <v>7.4030769230769303E-2</v>
      </c>
    </row>
    <row r="85" spans="1:11" s="4" customFormat="1" x14ac:dyDescent="0.3">
      <c r="A85" s="47">
        <v>139</v>
      </c>
      <c r="B85" s="29" t="s">
        <v>74</v>
      </c>
      <c r="C85" s="29"/>
      <c r="D85" s="29"/>
      <c r="E85" s="29">
        <f>SUM(E78:E84)</f>
        <v>29000</v>
      </c>
      <c r="F85" s="29">
        <f>SUM(F78:F84)</f>
        <v>34826</v>
      </c>
      <c r="G85" s="30">
        <f t="shared" si="14"/>
        <v>-0.16728880721300177</v>
      </c>
      <c r="I85" s="29">
        <f>SUM(I78:I84)</f>
        <v>26506.2</v>
      </c>
      <c r="J85" s="29">
        <f>SUM(J78:J84)</f>
        <v>32369.58</v>
      </c>
      <c r="K85" s="30">
        <f t="shared" si="15"/>
        <v>-0.18113858752569545</v>
      </c>
    </row>
    <row r="86" spans="1:11" s="4" customFormat="1" ht="6.75" customHeight="1" x14ac:dyDescent="0.3">
      <c r="A86" s="47">
        <v>140</v>
      </c>
      <c r="B86" s="17"/>
      <c r="C86" s="17"/>
      <c r="D86" s="17"/>
      <c r="E86" s="17"/>
      <c r="F86" s="17"/>
      <c r="G86" s="20"/>
      <c r="I86" s="17"/>
      <c r="J86" s="17"/>
      <c r="K86" s="20"/>
    </row>
    <row r="87" spans="1:11" x14ac:dyDescent="0.3">
      <c r="A87" s="47">
        <v>141</v>
      </c>
      <c r="B87" s="4" t="s">
        <v>75</v>
      </c>
      <c r="G87" s="42"/>
    </row>
    <row r="88" spans="1:11" x14ac:dyDescent="0.3">
      <c r="A88" s="47">
        <v>142</v>
      </c>
      <c r="C88" s="1" t="str">
        <f>+'New Year-Full Year'!C154</f>
        <v>Insurance</v>
      </c>
      <c r="E88" s="40">
        <f>+'New Year-Full Year'!O154</f>
        <v>14821</v>
      </c>
      <c r="F88" s="40">
        <f>+'New Year-Full Year'!P154</f>
        <v>15143</v>
      </c>
      <c r="G88" s="6">
        <f t="shared" ref="G88:G95" si="16">IF(F88=0,"NA",(+E88-F88)/F88)</f>
        <v>-2.1263950340091133E-2</v>
      </c>
      <c r="I88" s="40">
        <f>+'New Year-Full Year'!T154</f>
        <v>15002</v>
      </c>
      <c r="J88" s="40">
        <f>+'New Year-Full Year'!U154</f>
        <v>15143</v>
      </c>
      <c r="K88" s="6">
        <f t="shared" ref="K88:K95" si="17">IF(J88=0,"NA",(+I88-J88)/J88)</f>
        <v>-9.3112329128970488E-3</v>
      </c>
    </row>
    <row r="89" spans="1:11" x14ac:dyDescent="0.3">
      <c r="A89" s="47">
        <v>143</v>
      </c>
      <c r="C89" s="1" t="str">
        <f>+'New Year-Full Year'!C155</f>
        <v>Snow Removal</v>
      </c>
      <c r="E89" s="40">
        <f>+'New Year-Full Year'!O155</f>
        <v>4000</v>
      </c>
      <c r="F89" s="40">
        <f>+'New Year-Full Year'!P155</f>
        <v>5000</v>
      </c>
      <c r="G89" s="6">
        <f t="shared" si="16"/>
        <v>-0.2</v>
      </c>
      <c r="I89" s="40">
        <f>+'New Year-Full Year'!T155</f>
        <v>2035</v>
      </c>
      <c r="J89" s="40">
        <f>+'New Year-Full Year'!U155</f>
        <v>4000</v>
      </c>
      <c r="K89" s="6">
        <f t="shared" si="17"/>
        <v>-0.49125000000000002</v>
      </c>
    </row>
    <row r="90" spans="1:11" x14ac:dyDescent="0.3">
      <c r="A90" s="47">
        <v>144</v>
      </c>
      <c r="C90" s="1" t="str">
        <f>+'New Year-Full Year'!C156</f>
        <v>Maint.  Supplies</v>
      </c>
      <c r="E90" s="40">
        <f>+'New Year-Full Year'!O156</f>
        <v>4000</v>
      </c>
      <c r="F90" s="40">
        <f>+'New Year-Full Year'!P156</f>
        <v>2500</v>
      </c>
      <c r="G90" s="6">
        <f t="shared" si="16"/>
        <v>0.6</v>
      </c>
      <c r="I90" s="40">
        <f>+'New Year-Full Year'!T156</f>
        <v>4847.5</v>
      </c>
      <c r="J90" s="40">
        <f>+'New Year-Full Year'!U156</f>
        <v>2291.63</v>
      </c>
      <c r="K90" s="6">
        <f t="shared" si="17"/>
        <v>1.1153065721778821</v>
      </c>
    </row>
    <row r="91" spans="1:11" ht="15" customHeight="1" x14ac:dyDescent="0.3">
      <c r="A91" s="47">
        <v>145</v>
      </c>
      <c r="C91" s="1" t="str">
        <f>+'New Year-Full Year'!C157</f>
        <v>Maintenance Contracts</v>
      </c>
      <c r="D91" s="95"/>
      <c r="E91" s="40">
        <f>+'New Year-Full Year'!O157</f>
        <v>3500</v>
      </c>
      <c r="F91" s="40">
        <f>+'New Year-Full Year'!P157</f>
        <v>4300</v>
      </c>
      <c r="G91" s="6">
        <f t="shared" si="16"/>
        <v>-0.18604651162790697</v>
      </c>
      <c r="I91" s="40">
        <f>+'New Year-Full Year'!T157</f>
        <v>3593.01</v>
      </c>
      <c r="J91" s="40">
        <f>+'New Year-Full Year'!U157</f>
        <v>3941.63</v>
      </c>
      <c r="K91" s="6">
        <f t="shared" si="17"/>
        <v>-8.8445643046150935E-2</v>
      </c>
    </row>
    <row r="92" spans="1:11" x14ac:dyDescent="0.3">
      <c r="A92" s="47">
        <v>146</v>
      </c>
      <c r="C92" s="1" t="str">
        <f>+'New Year-Full Year'!C158</f>
        <v>Building Repairs</v>
      </c>
      <c r="E92" s="40">
        <f>+'New Year-Full Year'!O158</f>
        <v>7500</v>
      </c>
      <c r="F92" s="40">
        <f>+'New Year-Full Year'!P158</f>
        <v>6000</v>
      </c>
      <c r="G92" s="6">
        <f t="shared" si="16"/>
        <v>0.25</v>
      </c>
      <c r="I92" s="40">
        <f>+'New Year-Full Year'!T158</f>
        <v>21764.35</v>
      </c>
      <c r="J92" s="40">
        <f>+'New Year-Full Year'!U158</f>
        <v>5500</v>
      </c>
      <c r="K92" s="6">
        <f t="shared" si="17"/>
        <v>2.9571545454545451</v>
      </c>
    </row>
    <row r="93" spans="1:11" x14ac:dyDescent="0.3">
      <c r="A93" s="47">
        <v>149</v>
      </c>
      <c r="C93" s="1" t="str">
        <f>+'New Year-Full Year'!C159</f>
        <v>Interest-Line of Credit</v>
      </c>
      <c r="E93" s="40">
        <f>+'New Year-Full Year'!O159</f>
        <v>0</v>
      </c>
      <c r="F93" s="40">
        <f>+'New Year-Full Year'!P159</f>
        <v>0</v>
      </c>
      <c r="G93" s="6" t="str">
        <f t="shared" si="16"/>
        <v>NA</v>
      </c>
      <c r="I93" s="40">
        <f>+'New Year-Full Year'!T159</f>
        <v>18.600000000000001</v>
      </c>
      <c r="J93" s="40">
        <f>+'New Year-Full Year'!U159</f>
        <v>0</v>
      </c>
      <c r="K93" s="6" t="str">
        <f t="shared" si="17"/>
        <v>NA</v>
      </c>
    </row>
    <row r="94" spans="1:11" s="4" customFormat="1" x14ac:dyDescent="0.3">
      <c r="A94" s="47">
        <v>150</v>
      </c>
      <c r="B94" s="29" t="s">
        <v>80</v>
      </c>
      <c r="C94" s="29"/>
      <c r="D94" s="29"/>
      <c r="E94" s="29">
        <f>SUM(E88:E93)</f>
        <v>33821</v>
      </c>
      <c r="F94" s="29">
        <f>SUM(F88:F93)</f>
        <v>32943</v>
      </c>
      <c r="G94" s="30">
        <f t="shared" si="16"/>
        <v>2.665209604468324E-2</v>
      </c>
      <c r="I94" s="29">
        <f>SUM(I88:I93)</f>
        <v>47260.46</v>
      </c>
      <c r="J94" s="29">
        <f>SUM(J88:J93)</f>
        <v>30876.260000000002</v>
      </c>
      <c r="K94" s="30">
        <f t="shared" si="17"/>
        <v>0.53064069288184501</v>
      </c>
    </row>
    <row r="95" spans="1:11" x14ac:dyDescent="0.3">
      <c r="A95" s="47">
        <v>151</v>
      </c>
      <c r="B95" s="29" t="s">
        <v>81</v>
      </c>
      <c r="C95" s="29"/>
      <c r="D95" s="29"/>
      <c r="E95" s="29">
        <f>+E85+E94</f>
        <v>62821</v>
      </c>
      <c r="F95" s="29">
        <f>+F85+F94</f>
        <v>67769</v>
      </c>
      <c r="G95" s="30">
        <f t="shared" si="16"/>
        <v>-7.3012734436099097E-2</v>
      </c>
      <c r="I95" s="29">
        <f>+I85+I94</f>
        <v>73766.66</v>
      </c>
      <c r="J95" s="29">
        <f>+J85+J94</f>
        <v>63245.840000000004</v>
      </c>
      <c r="K95" s="30">
        <f t="shared" si="17"/>
        <v>0.16634801593274751</v>
      </c>
    </row>
    <row r="96" spans="1:11" ht="4.5" customHeight="1" x14ac:dyDescent="0.3">
      <c r="A96" s="47">
        <v>152</v>
      </c>
      <c r="G96" s="42"/>
    </row>
    <row r="97" spans="1:11" ht="18" x14ac:dyDescent="0.3">
      <c r="A97" s="47">
        <v>153</v>
      </c>
      <c r="B97" s="9" t="s">
        <v>82</v>
      </c>
      <c r="G97" s="42"/>
    </row>
    <row r="98" spans="1:11" x14ac:dyDescent="0.3">
      <c r="A98" s="47">
        <v>154</v>
      </c>
      <c r="B98" s="4" t="s">
        <v>83</v>
      </c>
      <c r="G98" s="42"/>
    </row>
    <row r="99" spans="1:11" x14ac:dyDescent="0.3">
      <c r="A99" s="47">
        <v>155</v>
      </c>
      <c r="C99" s="1" t="str">
        <f>'New Year-Full Year'!C165</f>
        <v>Operating Fund Reserve</v>
      </c>
      <c r="E99" s="40">
        <f>SUM('New Year-Full Year'!O165:O165)</f>
        <v>0</v>
      </c>
      <c r="F99" s="40">
        <f>SUM('New Year-Full Year'!P165:P165)</f>
        <v>11239</v>
      </c>
      <c r="G99" s="6">
        <f t="shared" ref="G99:G104" si="18">IF(F99=0,"NA",(+E99-F99)/F99)</f>
        <v>-1</v>
      </c>
      <c r="I99" s="40">
        <f>SUM('New Year-Full Year'!T165:T165)</f>
        <v>0</v>
      </c>
      <c r="J99" s="40">
        <f>SUM('New Year-Full Year'!U165:U165)</f>
        <v>10302.379999999999</v>
      </c>
      <c r="K99" s="6">
        <f t="shared" ref="K99:K104" si="19">IF(J99=0,"NA",(+I99-J99)/J99)</f>
        <v>-1</v>
      </c>
    </row>
    <row r="100" spans="1:11" x14ac:dyDescent="0.3">
      <c r="A100" s="47">
        <v>156</v>
      </c>
      <c r="C100" s="1" t="str">
        <f>'New Year-Full Year'!C166</f>
        <v>Facilities Fund Reserve</v>
      </c>
      <c r="E100" s="40">
        <f>+'New Year-Full Year'!O166</f>
        <v>24378</v>
      </c>
      <c r="F100" s="40">
        <f>+'New Year-Full Year'!P166</f>
        <v>25000</v>
      </c>
      <c r="G100" s="6">
        <f t="shared" si="18"/>
        <v>-2.4879999999999999E-2</v>
      </c>
      <c r="I100" s="40">
        <f>+'New Year-Full Year'!T166</f>
        <v>0</v>
      </c>
      <c r="J100" s="40">
        <f>+'New Year-Full Year'!U166</f>
        <v>22916.63</v>
      </c>
      <c r="K100" s="6">
        <f t="shared" si="19"/>
        <v>-1</v>
      </c>
    </row>
    <row r="101" spans="1:11" x14ac:dyDescent="0.3">
      <c r="A101" s="47">
        <v>157</v>
      </c>
      <c r="C101" s="1" t="str">
        <f>'New Year-Full Year'!C167</f>
        <v>Facilities Maintenance</v>
      </c>
      <c r="E101" s="40">
        <f>+'New Year-Full Year'!O167</f>
        <v>5000</v>
      </c>
      <c r="F101" s="40">
        <f>+'New Year-Full Year'!P167</f>
        <v>19000</v>
      </c>
      <c r="G101" s="6">
        <f t="shared" si="18"/>
        <v>-0.73684210526315785</v>
      </c>
      <c r="I101" s="40">
        <f>+'New Year-Full Year'!T167</f>
        <v>0</v>
      </c>
      <c r="J101" s="40">
        <f>+'New Year-Full Year'!U167</f>
        <v>17416.63</v>
      </c>
      <c r="K101" s="6">
        <f t="shared" si="19"/>
        <v>-1</v>
      </c>
    </row>
    <row r="102" spans="1:11" x14ac:dyDescent="0.3">
      <c r="C102" s="1" t="s">
        <v>256</v>
      </c>
      <c r="E102" s="40">
        <f>+'New Year-Full Year'!O168</f>
        <v>10000</v>
      </c>
      <c r="F102" s="40">
        <f>+'New Year-Full Year'!P168</f>
        <v>0</v>
      </c>
      <c r="G102" s="6" t="str">
        <f t="shared" si="18"/>
        <v>NA</v>
      </c>
      <c r="I102" s="40">
        <f>+'New Year-Full Year'!T168</f>
        <v>0</v>
      </c>
      <c r="J102" s="40">
        <f>+'New Year-Full Year'!U168</f>
        <v>0</v>
      </c>
      <c r="K102" s="6" t="str">
        <f t="shared" si="19"/>
        <v>NA</v>
      </c>
    </row>
    <row r="103" spans="1:11" hidden="1" x14ac:dyDescent="0.3">
      <c r="A103" s="47">
        <v>158</v>
      </c>
      <c r="C103" s="1" t="str">
        <f>'New Year-Full Year'!C169</f>
        <v>Line of Credit Payment</v>
      </c>
      <c r="E103" s="40">
        <f>+'New Year-Full Year'!O169</f>
        <v>0</v>
      </c>
      <c r="F103" s="40">
        <f>+'New Year-Full Year'!P169</f>
        <v>0</v>
      </c>
      <c r="G103" s="6" t="str">
        <f t="shared" si="18"/>
        <v>NA</v>
      </c>
      <c r="I103" s="40">
        <f>+'New Year-Full Year'!T169</f>
        <v>0</v>
      </c>
      <c r="J103" s="40">
        <f>+'New Year-Full Year'!U169</f>
        <v>0</v>
      </c>
      <c r="K103" s="6" t="str">
        <f t="shared" si="19"/>
        <v>NA</v>
      </c>
    </row>
    <row r="104" spans="1:11" s="4" customFormat="1" x14ac:dyDescent="0.3">
      <c r="A104" s="47">
        <v>159</v>
      </c>
      <c r="B104" s="31" t="s">
        <v>86</v>
      </c>
      <c r="C104" s="31"/>
      <c r="D104" s="31"/>
      <c r="E104" s="31">
        <f>SUM(E99:E103)</f>
        <v>39378</v>
      </c>
      <c r="F104" s="31">
        <f>SUM(F99:F103)</f>
        <v>55239</v>
      </c>
      <c r="G104" s="32">
        <f t="shared" si="18"/>
        <v>-0.28713409004507684</v>
      </c>
      <c r="I104" s="31">
        <f>SUM(I99:I103)</f>
        <v>0</v>
      </c>
      <c r="J104" s="31">
        <f>SUM(J99:J103)</f>
        <v>50635.64</v>
      </c>
      <c r="K104" s="32">
        <f t="shared" si="19"/>
        <v>-1</v>
      </c>
    </row>
    <row r="105" spans="1:11" ht="7.5" customHeight="1" x14ac:dyDescent="0.3">
      <c r="A105" s="47">
        <v>160</v>
      </c>
      <c r="G105" s="42"/>
    </row>
    <row r="106" spans="1:11" x14ac:dyDescent="0.3">
      <c r="A106" s="47">
        <v>161</v>
      </c>
      <c r="B106" s="33" t="s">
        <v>87</v>
      </c>
      <c r="C106" s="34"/>
      <c r="D106" s="34"/>
      <c r="E106" s="33">
        <f>+E68+E95+E104+E24+E74</f>
        <v>521500</v>
      </c>
      <c r="F106" s="33">
        <f>+F68+F95+F104+F24+F74</f>
        <v>539500.13360499998</v>
      </c>
      <c r="G106" s="35">
        <f t="shared" ref="G106" si="20">IF(F106=0,"NA",(+E106-F106)/F106)</f>
        <v>-3.3364465518703548E-2</v>
      </c>
      <c r="I106" s="33">
        <f>+I68+I95+I104+I24+I74</f>
        <v>417304.89</v>
      </c>
      <c r="J106" s="33">
        <f>+J68+J95+J104+J24+J74</f>
        <v>492747.83999999997</v>
      </c>
      <c r="K106" s="35">
        <f>IF(J106=0,"NA",(+I106-J106)/J106)</f>
        <v>-0.15310660722531014</v>
      </c>
    </row>
    <row r="107" spans="1:11" x14ac:dyDescent="0.3">
      <c r="A107" s="47">
        <v>162</v>
      </c>
      <c r="B107" s="33" t="s">
        <v>88</v>
      </c>
      <c r="C107" s="34"/>
      <c r="D107" s="34"/>
      <c r="E107" s="33">
        <f>ROUND(+E21-E106,0)</f>
        <v>0</v>
      </c>
      <c r="F107" s="33">
        <f>ROUND(+F21-F106,0)</f>
        <v>0</v>
      </c>
      <c r="G107" s="53"/>
      <c r="I107" s="33">
        <f>ROUND(+I21-I106,0)</f>
        <v>77375</v>
      </c>
      <c r="J107" s="33">
        <f>ROUND(+J21-J106,0)</f>
        <v>2892</v>
      </c>
      <c r="K107" s="35">
        <f>IF(J107=0,"NA",(+I107-J107)/J107)</f>
        <v>25.75484094052559</v>
      </c>
    </row>
    <row r="108" spans="1:11" ht="7.2" customHeight="1" thickBot="1" x14ac:dyDescent="0.35">
      <c r="G108" s="42"/>
    </row>
    <row r="109" spans="1:11" x14ac:dyDescent="0.3">
      <c r="B109" s="146" t="s">
        <v>218</v>
      </c>
      <c r="C109" s="147"/>
      <c r="D109" s="147"/>
      <c r="E109" s="163">
        <f>+E7</f>
        <v>500000</v>
      </c>
      <c r="F109" s="163">
        <f>+F7</f>
        <v>520000</v>
      </c>
      <c r="G109" s="151">
        <f t="shared" ref="G109:G111" si="21">IF(F109=0,"NA",(+E109-F109)/F109)</f>
        <v>-3.8461538461538464E-2</v>
      </c>
      <c r="H109" s="148"/>
      <c r="I109" s="163">
        <f>+I7</f>
        <v>474250.58</v>
      </c>
      <c r="J109" s="163">
        <f>+J7</f>
        <v>482473.68</v>
      </c>
      <c r="K109" s="152">
        <f t="shared" ref="K109:K111" si="22">IF(J109=0,"NA",(+I109-J109)/J109)</f>
        <v>-1.7043624016961873E-2</v>
      </c>
    </row>
    <row r="110" spans="1:11" x14ac:dyDescent="0.3">
      <c r="B110" s="153" t="s">
        <v>182</v>
      </c>
      <c r="C110" s="141"/>
      <c r="D110" s="141"/>
      <c r="E110" s="164">
        <f>+E106-E104</f>
        <v>482122</v>
      </c>
      <c r="F110" s="164">
        <f>+F106-F104</f>
        <v>484261.13360499998</v>
      </c>
      <c r="G110" s="145">
        <f t="shared" si="21"/>
        <v>-4.4173142475332746E-3</v>
      </c>
      <c r="H110" s="142"/>
      <c r="I110" s="164">
        <f>+I106-I104</f>
        <v>417304.89</v>
      </c>
      <c r="J110" s="164">
        <f>+J106-J104</f>
        <v>442112.19999999995</v>
      </c>
      <c r="K110" s="154">
        <f t="shared" si="22"/>
        <v>-5.6110892212429202E-2</v>
      </c>
    </row>
    <row r="111" spans="1:11" ht="15" thickBot="1" x14ac:dyDescent="0.35">
      <c r="B111" s="155" t="s">
        <v>219</v>
      </c>
      <c r="C111" s="156"/>
      <c r="D111" s="156"/>
      <c r="E111" s="165">
        <f>+E109-E110</f>
        <v>17878</v>
      </c>
      <c r="F111" s="165">
        <f>+F109-F110</f>
        <v>35738.866395000019</v>
      </c>
      <c r="G111" s="161">
        <f t="shared" si="21"/>
        <v>-0.49976029450947584</v>
      </c>
      <c r="H111" s="158"/>
      <c r="I111" s="165">
        <f>+I109-I110</f>
        <v>56945.69</v>
      </c>
      <c r="J111" s="165">
        <f>+J109-J110</f>
        <v>40361.48000000004</v>
      </c>
      <c r="K111" s="162">
        <f t="shared" si="22"/>
        <v>0.41089201882586929</v>
      </c>
    </row>
    <row r="112" spans="1:11" ht="4.95" customHeight="1" x14ac:dyDescent="0.3">
      <c r="G112" s="42"/>
    </row>
    <row r="113" spans="1:11" x14ac:dyDescent="0.3">
      <c r="A113" s="1"/>
      <c r="B113" s="1"/>
      <c r="C113" s="172" t="s">
        <v>264</v>
      </c>
      <c r="D113" s="172"/>
      <c r="E113" s="172"/>
      <c r="F113" s="172"/>
      <c r="G113" s="172"/>
      <c r="H113" s="172"/>
      <c r="I113" s="172"/>
      <c r="J113" s="172"/>
      <c r="K113" s="172"/>
    </row>
    <row r="114" spans="1:11" x14ac:dyDescent="0.3">
      <c r="A114" s="1"/>
      <c r="B114" s="1"/>
      <c r="G114" s="42"/>
      <c r="K114" s="1"/>
    </row>
    <row r="115" spans="1:11" x14ac:dyDescent="0.3">
      <c r="A115" s="1"/>
      <c r="B115" s="1"/>
      <c r="G115" s="42"/>
      <c r="K115" s="1"/>
    </row>
    <row r="116" spans="1:11" x14ac:dyDescent="0.3">
      <c r="A116" s="1"/>
      <c r="B116" s="1"/>
      <c r="G116" s="42"/>
      <c r="K116" s="1"/>
    </row>
    <row r="117" spans="1:11" x14ac:dyDescent="0.3">
      <c r="A117" s="1"/>
      <c r="B117" s="1"/>
      <c r="G117" s="42"/>
      <c r="K117" s="1"/>
    </row>
    <row r="118" spans="1:11" x14ac:dyDescent="0.3">
      <c r="A118" s="1"/>
      <c r="B118" s="1"/>
      <c r="G118" s="42"/>
      <c r="K118" s="1"/>
    </row>
    <row r="119" spans="1:11" x14ac:dyDescent="0.3">
      <c r="A119" s="1"/>
      <c r="B119" s="1"/>
      <c r="G119" s="42"/>
      <c r="K119" s="1"/>
    </row>
  </sheetData>
  <mergeCells count="6">
    <mergeCell ref="C113:K113"/>
    <mergeCell ref="B1:K1"/>
    <mergeCell ref="B2:K2"/>
    <mergeCell ref="I3:K3"/>
    <mergeCell ref="E3:G3"/>
    <mergeCell ref="C71:D71"/>
  </mergeCells>
  <pageMargins left="0" right="0" top="0" bottom="0.75" header="0.3" footer="0.05"/>
  <pageSetup scale="90" fitToHeight="0" orientation="portrait" r:id="rId1"/>
  <headerFooter>
    <oddFooter>&amp;C&amp;P of &amp;N&amp;R&amp;D</oddFooter>
  </headerFooter>
  <rowBreaks count="2" manualBreakCount="2">
    <brk id="51" max="16383" man="1"/>
    <brk id="86" max="16383" man="1"/>
  </rowBreaks>
  <colBreaks count="1" manualBreakCount="1">
    <brk id="1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225"/>
  <sheetViews>
    <sheetView showGridLines="0" topLeftCell="B77" zoomScale="110" zoomScaleNormal="110" workbookViewId="0">
      <selection activeCell="B172" sqref="B172:V177"/>
    </sheetView>
  </sheetViews>
  <sheetFormatPr defaultColWidth="9.109375" defaultRowHeight="14.4" outlineLevelCol="1" x14ac:dyDescent="0.3"/>
  <cols>
    <col min="1" max="1" width="4.44140625" style="47" hidden="1" customWidth="1"/>
    <col min="2" max="2" width="4.33203125" style="4" customWidth="1"/>
    <col min="3" max="3" width="9.109375" style="1"/>
    <col min="4" max="4" width="18.6640625" style="61" customWidth="1"/>
    <col min="5" max="5" width="11.5546875" style="99" hidden="1" customWidth="1" outlineLevel="1"/>
    <col min="6" max="6" width="8" style="42" hidden="1" customWidth="1" outlineLevel="1"/>
    <col min="7" max="7" width="8.6640625" style="42" hidden="1" customWidth="1" outlineLevel="1"/>
    <col min="8" max="8" width="7.88671875" style="42" hidden="1" customWidth="1" outlineLevel="1"/>
    <col min="9" max="9" width="10.6640625" style="42" hidden="1" customWidth="1" outlineLevel="1"/>
    <col min="10" max="10" width="8.109375" style="42" hidden="1" customWidth="1" outlineLevel="1"/>
    <col min="11" max="11" width="8.6640625" style="42" hidden="1" customWidth="1" outlineLevel="1"/>
    <col min="12" max="12" width="7.109375" style="42" hidden="1" customWidth="1" outlineLevel="1"/>
    <col min="13" max="13" width="8.33203125" style="42" hidden="1" customWidth="1" outlineLevel="1"/>
    <col min="14" max="14" width="9.6640625" style="1" hidden="1" customWidth="1" outlineLevel="1"/>
    <col min="15" max="15" width="11.109375" style="1" customWidth="1" collapsed="1"/>
    <col min="16" max="16" width="11.109375" style="1" customWidth="1"/>
    <col min="17" max="17" width="10.5546875" style="1" customWidth="1"/>
    <col min="18" max="18" width="9.33203125" style="1" customWidth="1"/>
    <col min="19" max="19" width="2.6640625" style="1" customWidth="1"/>
    <col min="20" max="20" width="10.88671875" style="1" customWidth="1"/>
    <col min="21" max="21" width="10.44140625" style="1" customWidth="1"/>
    <col min="22" max="22" width="9" style="7" customWidth="1"/>
    <col min="23" max="23" width="76.6640625" style="66" customWidth="1"/>
    <col min="24" max="24" width="58.6640625" style="38" hidden="1" customWidth="1"/>
    <col min="25" max="25" width="9.5546875" style="1" bestFit="1" customWidth="1"/>
    <col min="26" max="16384" width="9.109375" style="1"/>
  </cols>
  <sheetData>
    <row r="1" spans="1:24" ht="41.25" customHeight="1" x14ac:dyDescent="0.3">
      <c r="B1" s="173" t="s">
        <v>92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"/>
    </row>
    <row r="2" spans="1:24" ht="23.25" customHeight="1" x14ac:dyDescent="0.3">
      <c r="O2" s="178" t="s">
        <v>91</v>
      </c>
      <c r="P2" s="179"/>
      <c r="Q2" s="179"/>
      <c r="R2" s="180"/>
      <c r="T2" s="182" t="str">
        <f>Bud_Yr-1&amp;" Year to Date (YTD)"</f>
        <v>2017 Year to Date (YTD)</v>
      </c>
      <c r="U2" s="183"/>
      <c r="V2" s="184"/>
    </row>
    <row r="3" spans="1:24" ht="27.6" customHeight="1" x14ac:dyDescent="0.3">
      <c r="O3" s="193" t="str">
        <f>Bud_Yr&amp;" Budget"</f>
        <v>2018 Budget</v>
      </c>
      <c r="P3" s="195" t="str">
        <f>Bud_Yr-1&amp;" Budget"</f>
        <v>2017 Budget</v>
      </c>
      <c r="Q3" s="185" t="str">
        <f>Bud_Yr&amp;" Budget vs             "&amp;Bud_Yr-1&amp;" Budget"</f>
        <v>2018 Budget vs             2017 Budget</v>
      </c>
      <c r="R3" s="186"/>
      <c r="S3" s="61"/>
      <c r="T3" s="187" t="s">
        <v>247</v>
      </c>
      <c r="U3" s="189" t="s">
        <v>248</v>
      </c>
      <c r="V3" s="191" t="s">
        <v>90</v>
      </c>
    </row>
    <row r="4" spans="1:24" s="4" customFormat="1" x14ac:dyDescent="0.3">
      <c r="A4" s="48"/>
      <c r="D4" s="17"/>
      <c r="E4" s="100"/>
      <c r="F4" s="101"/>
      <c r="G4" s="101"/>
      <c r="H4" s="101"/>
      <c r="I4" s="101"/>
      <c r="J4" s="101"/>
      <c r="K4" s="101"/>
      <c r="L4" s="101"/>
      <c r="M4" s="101"/>
      <c r="O4" s="194"/>
      <c r="P4" s="196"/>
      <c r="Q4" s="60" t="s">
        <v>123</v>
      </c>
      <c r="R4" s="62" t="s">
        <v>124</v>
      </c>
      <c r="T4" s="188"/>
      <c r="U4" s="190"/>
      <c r="V4" s="192"/>
      <c r="W4" s="67" t="str">
        <f>Bud_Yr&amp;" Budget Notes"</f>
        <v>2018 Budget Notes</v>
      </c>
      <c r="X4" s="8" t="s">
        <v>125</v>
      </c>
    </row>
    <row r="5" spans="1:24" s="4" customFormat="1" ht="18" x14ac:dyDescent="0.3">
      <c r="A5" s="48"/>
      <c r="B5" s="9" t="s">
        <v>0</v>
      </c>
      <c r="D5" s="17"/>
      <c r="E5" s="100"/>
      <c r="F5" s="101"/>
      <c r="G5" s="101"/>
      <c r="H5" s="101"/>
      <c r="I5" s="101"/>
      <c r="J5" s="101"/>
      <c r="K5" s="101"/>
      <c r="L5" s="101"/>
      <c r="M5" s="101"/>
      <c r="O5" s="10"/>
      <c r="P5" s="11"/>
      <c r="Q5" s="43"/>
      <c r="R5" s="11"/>
      <c r="T5" s="11"/>
      <c r="U5" s="11"/>
      <c r="V5" s="11"/>
      <c r="W5" s="87"/>
      <c r="X5" s="68"/>
    </row>
    <row r="6" spans="1:24" x14ac:dyDescent="0.3">
      <c r="A6" s="47">
        <v>1</v>
      </c>
      <c r="B6" s="4" t="s">
        <v>1</v>
      </c>
      <c r="W6" s="88"/>
      <c r="X6" s="86"/>
    </row>
    <row r="7" spans="1:24" x14ac:dyDescent="0.3">
      <c r="A7" s="47">
        <v>2</v>
      </c>
      <c r="C7" s="1" t="s">
        <v>1</v>
      </c>
      <c r="O7" s="63">
        <v>500000</v>
      </c>
      <c r="P7" s="63">
        <v>520000</v>
      </c>
      <c r="Q7" s="40">
        <f>+O7-P7</f>
        <v>-20000</v>
      </c>
      <c r="R7" s="6">
        <f>IF(P7=0,"NA",(+O7-P7)/P7)</f>
        <v>-3.8461538461538464E-2</v>
      </c>
      <c r="T7" s="63">
        <v>474250.58</v>
      </c>
      <c r="U7" s="63">
        <v>482473.68</v>
      </c>
      <c r="V7" s="6">
        <f t="shared" ref="V7:V12" si="0">IF(U7=0,"NA",(+T7-U7)/U7)</f>
        <v>-1.7043624016961873E-2</v>
      </c>
      <c r="W7" s="73" t="s">
        <v>200</v>
      </c>
      <c r="X7" s="69" t="s">
        <v>135</v>
      </c>
    </row>
    <row r="8" spans="1:24" x14ac:dyDescent="0.3">
      <c r="A8" s="47">
        <v>4</v>
      </c>
      <c r="C8" s="1" t="s">
        <v>2</v>
      </c>
      <c r="O8" s="63">
        <v>4000</v>
      </c>
      <c r="P8" s="63">
        <v>4000</v>
      </c>
      <c r="Q8" s="40">
        <f t="shared" ref="Q8:Q11" si="1">+O8-P8</f>
        <v>0</v>
      </c>
      <c r="R8" s="6">
        <f t="shared" ref="R8:R12" si="2">IF(P8=0,"NA",(+O8-P8)/P8)</f>
        <v>0</v>
      </c>
      <c r="T8" s="63">
        <v>4018</v>
      </c>
      <c r="U8" s="63">
        <v>4000</v>
      </c>
      <c r="V8" s="6">
        <f t="shared" si="0"/>
        <v>4.4999999999999997E-3</v>
      </c>
      <c r="W8" s="73"/>
      <c r="X8" s="69"/>
    </row>
    <row r="9" spans="1:24" x14ac:dyDescent="0.3">
      <c r="A9" s="47">
        <v>5</v>
      </c>
      <c r="C9" s="1" t="s">
        <v>3</v>
      </c>
      <c r="O9" s="63">
        <v>1000</v>
      </c>
      <c r="P9" s="63">
        <v>1000</v>
      </c>
      <c r="Q9" s="40">
        <f t="shared" si="1"/>
        <v>0</v>
      </c>
      <c r="R9" s="6">
        <f t="shared" si="2"/>
        <v>0</v>
      </c>
      <c r="T9" s="63">
        <v>300.5</v>
      </c>
      <c r="U9" s="63">
        <v>653.98</v>
      </c>
      <c r="V9" s="6">
        <f t="shared" si="0"/>
        <v>-0.54050582586623441</v>
      </c>
      <c r="W9" s="73"/>
      <c r="X9" s="69"/>
    </row>
    <row r="10" spans="1:24" x14ac:dyDescent="0.3">
      <c r="A10" s="47">
        <v>6</v>
      </c>
      <c r="C10" s="1" t="s">
        <v>4</v>
      </c>
      <c r="O10" s="63">
        <v>5000</v>
      </c>
      <c r="P10" s="63">
        <v>5000</v>
      </c>
      <c r="Q10" s="40">
        <f t="shared" si="1"/>
        <v>0</v>
      </c>
      <c r="R10" s="6">
        <f t="shared" si="2"/>
        <v>0</v>
      </c>
      <c r="T10" s="63">
        <v>0</v>
      </c>
      <c r="U10" s="63">
        <v>485.82</v>
      </c>
      <c r="V10" s="6">
        <f t="shared" si="0"/>
        <v>-1</v>
      </c>
      <c r="W10" s="73"/>
      <c r="X10" s="69"/>
    </row>
    <row r="11" spans="1:24" x14ac:dyDescent="0.3">
      <c r="A11" s="47">
        <v>7</v>
      </c>
      <c r="C11" s="1" t="s">
        <v>5</v>
      </c>
      <c r="O11" s="63">
        <v>3000</v>
      </c>
      <c r="P11" s="63">
        <v>2000</v>
      </c>
      <c r="Q11" s="40">
        <f t="shared" si="1"/>
        <v>1000</v>
      </c>
      <c r="R11" s="6">
        <f t="shared" si="2"/>
        <v>0.5</v>
      </c>
      <c r="T11" s="63">
        <v>3698</v>
      </c>
      <c r="U11" s="63">
        <v>2000</v>
      </c>
      <c r="V11" s="6">
        <f t="shared" si="0"/>
        <v>0.84899999999999998</v>
      </c>
      <c r="W11" s="73"/>
      <c r="X11" s="69"/>
    </row>
    <row r="12" spans="1:24" x14ac:dyDescent="0.3">
      <c r="A12" s="47">
        <v>8</v>
      </c>
      <c r="B12" s="12" t="s">
        <v>6</v>
      </c>
      <c r="C12" s="12"/>
      <c r="D12" s="12"/>
      <c r="E12" s="102"/>
      <c r="F12" s="102"/>
      <c r="G12" s="102"/>
      <c r="H12" s="102"/>
      <c r="I12" s="102"/>
      <c r="J12" s="102"/>
      <c r="K12" s="102"/>
      <c r="L12" s="102"/>
      <c r="M12" s="102"/>
      <c r="N12" s="12"/>
      <c r="O12" s="12">
        <f>SUM(O7:O11)</f>
        <v>513000</v>
      </c>
      <c r="P12" s="12">
        <f>SUM(P7:P11)</f>
        <v>532000</v>
      </c>
      <c r="Q12" s="12">
        <f>SUM(Q7:Q11)</f>
        <v>-19000</v>
      </c>
      <c r="R12" s="13">
        <f t="shared" si="2"/>
        <v>-3.5714285714285712E-2</v>
      </c>
      <c r="T12" s="12">
        <f>SUM(T7:T11)</f>
        <v>482267.08</v>
      </c>
      <c r="U12" s="12">
        <f>SUM(U7:U11)</f>
        <v>489613.48</v>
      </c>
      <c r="V12" s="13">
        <f t="shared" si="0"/>
        <v>-1.5004488846998178E-2</v>
      </c>
      <c r="W12" s="89"/>
      <c r="X12" s="70"/>
    </row>
    <row r="13" spans="1:24" ht="5.25" customHeight="1" x14ac:dyDescent="0.3">
      <c r="A13" s="47">
        <v>9</v>
      </c>
      <c r="R13" s="7"/>
      <c r="W13" s="89"/>
      <c r="X13" s="70"/>
    </row>
    <row r="14" spans="1:24" x14ac:dyDescent="0.3">
      <c r="A14" s="47">
        <v>10</v>
      </c>
      <c r="B14" s="4" t="s">
        <v>7</v>
      </c>
      <c r="R14" s="7"/>
      <c r="W14" s="89"/>
      <c r="X14" s="70"/>
    </row>
    <row r="15" spans="1:24" x14ac:dyDescent="0.3">
      <c r="A15" s="47">
        <v>11</v>
      </c>
      <c r="C15" s="1" t="s">
        <v>8</v>
      </c>
      <c r="O15" s="63">
        <v>8500</v>
      </c>
      <c r="P15" s="63">
        <v>7500</v>
      </c>
      <c r="Q15" s="40">
        <f t="shared" ref="Q15:Q19" si="3">+O15-P15</f>
        <v>1000</v>
      </c>
      <c r="R15" s="6">
        <f t="shared" ref="R15:R21" si="4">IF(P15=0,"NA",(+O15-P15)/P15)</f>
        <v>0.13333333333333333</v>
      </c>
      <c r="T15" s="63">
        <v>8449.5499999999993</v>
      </c>
      <c r="U15" s="63">
        <v>6026.12</v>
      </c>
      <c r="V15" s="6">
        <f t="shared" ref="V15:V21" si="5">IF(U15=0,"NA",(+T15-U15)/U15)</f>
        <v>0.40215428833146361</v>
      </c>
      <c r="W15" s="73"/>
      <c r="X15" s="69"/>
    </row>
    <row r="16" spans="1:24" x14ac:dyDescent="0.3">
      <c r="A16" s="47">
        <v>12</v>
      </c>
      <c r="C16" s="1" t="s">
        <v>7</v>
      </c>
      <c r="O16" s="63">
        <f t="shared" ref="O16:O19" si="6">+P16</f>
        <v>0</v>
      </c>
      <c r="P16" s="63">
        <v>0</v>
      </c>
      <c r="Q16" s="40">
        <f t="shared" si="3"/>
        <v>0</v>
      </c>
      <c r="R16" s="6" t="str">
        <f t="shared" si="4"/>
        <v>NA</v>
      </c>
      <c r="T16" s="63">
        <v>3962.1</v>
      </c>
      <c r="U16" s="63">
        <v>0</v>
      </c>
      <c r="V16" s="6" t="str">
        <f t="shared" si="5"/>
        <v>NA</v>
      </c>
      <c r="W16" s="89"/>
      <c r="X16" s="70"/>
    </row>
    <row r="17" spans="1:24" x14ac:dyDescent="0.3">
      <c r="A17" s="47">
        <v>13</v>
      </c>
      <c r="C17" s="1" t="s">
        <v>9</v>
      </c>
      <c r="O17" s="63">
        <f t="shared" si="6"/>
        <v>0</v>
      </c>
      <c r="P17" s="63">
        <v>0</v>
      </c>
      <c r="Q17" s="40">
        <f t="shared" si="3"/>
        <v>0</v>
      </c>
      <c r="R17" s="6" t="str">
        <f t="shared" si="4"/>
        <v>NA</v>
      </c>
      <c r="T17" s="63">
        <v>0</v>
      </c>
      <c r="U17" s="63">
        <v>0</v>
      </c>
      <c r="V17" s="6" t="str">
        <f t="shared" si="5"/>
        <v>NA</v>
      </c>
      <c r="W17" s="89"/>
      <c r="X17" s="70"/>
    </row>
    <row r="18" spans="1:24" x14ac:dyDescent="0.3">
      <c r="A18" s="47">
        <v>14</v>
      </c>
      <c r="C18" s="1" t="s">
        <v>11</v>
      </c>
      <c r="O18" s="63">
        <f t="shared" si="6"/>
        <v>0</v>
      </c>
      <c r="P18" s="63">
        <v>0</v>
      </c>
      <c r="Q18" s="40">
        <f t="shared" si="3"/>
        <v>0</v>
      </c>
      <c r="R18" s="6" t="str">
        <f t="shared" si="4"/>
        <v>NA</v>
      </c>
      <c r="T18" s="63">
        <v>1.61</v>
      </c>
      <c r="U18" s="63">
        <v>0</v>
      </c>
      <c r="V18" s="6" t="str">
        <f t="shared" si="5"/>
        <v>NA</v>
      </c>
      <c r="W18" s="89"/>
      <c r="X18" s="70"/>
    </row>
    <row r="19" spans="1:24" x14ac:dyDescent="0.3">
      <c r="A19" s="47">
        <v>15</v>
      </c>
      <c r="C19" s="1" t="s">
        <v>100</v>
      </c>
      <c r="O19" s="63">
        <f t="shared" si="6"/>
        <v>0</v>
      </c>
      <c r="P19" s="63">
        <v>0</v>
      </c>
      <c r="Q19" s="40">
        <f t="shared" si="3"/>
        <v>0</v>
      </c>
      <c r="R19" s="6" t="str">
        <f t="shared" si="4"/>
        <v>NA</v>
      </c>
      <c r="T19" s="63">
        <v>0</v>
      </c>
      <c r="U19" s="63">
        <v>0</v>
      </c>
      <c r="V19" s="6" t="str">
        <f t="shared" si="5"/>
        <v>NA</v>
      </c>
      <c r="W19" s="89"/>
      <c r="X19" s="70"/>
    </row>
    <row r="20" spans="1:24" x14ac:dyDescent="0.3">
      <c r="A20" s="47">
        <v>16</v>
      </c>
      <c r="B20" s="12" t="s">
        <v>10</v>
      </c>
      <c r="C20" s="12"/>
      <c r="D20" s="12"/>
      <c r="E20" s="102"/>
      <c r="F20" s="102"/>
      <c r="G20" s="102"/>
      <c r="H20" s="102"/>
      <c r="I20" s="102"/>
      <c r="J20" s="102"/>
      <c r="K20" s="102"/>
      <c r="L20" s="102"/>
      <c r="M20" s="102"/>
      <c r="N20" s="12"/>
      <c r="O20" s="12">
        <f>SUM(O15:O19)</f>
        <v>8500</v>
      </c>
      <c r="P20" s="12">
        <f>SUM(P15:P19)</f>
        <v>7500</v>
      </c>
      <c r="Q20" s="12">
        <f>SUM(Q15:Q19)</f>
        <v>1000</v>
      </c>
      <c r="R20" s="13">
        <f t="shared" si="4"/>
        <v>0.13333333333333333</v>
      </c>
      <c r="T20" s="12">
        <f t="shared" ref="T20:U20" si="7">SUM(T15:T19)</f>
        <v>12413.26</v>
      </c>
      <c r="U20" s="12">
        <f t="shared" si="7"/>
        <v>6026.12</v>
      </c>
      <c r="V20" s="13">
        <f t="shared" si="5"/>
        <v>1.0599091953031139</v>
      </c>
      <c r="W20" s="89"/>
      <c r="X20" s="70"/>
    </row>
    <row r="21" spans="1:24" x14ac:dyDescent="0.3">
      <c r="A21" s="47">
        <v>17</v>
      </c>
      <c r="B21" s="12" t="s">
        <v>12</v>
      </c>
      <c r="C21" s="12"/>
      <c r="D21" s="12"/>
      <c r="E21" s="102"/>
      <c r="F21" s="102"/>
      <c r="G21" s="102"/>
      <c r="H21" s="102"/>
      <c r="I21" s="102"/>
      <c r="J21" s="102"/>
      <c r="K21" s="102"/>
      <c r="L21" s="102"/>
      <c r="M21" s="102"/>
      <c r="N21" s="12"/>
      <c r="O21" s="12">
        <f>+O12+O20</f>
        <v>521500</v>
      </c>
      <c r="P21" s="12">
        <f>+P12+P20</f>
        <v>539500</v>
      </c>
      <c r="Q21" s="12">
        <f>+Q12+Q20</f>
        <v>-18000</v>
      </c>
      <c r="R21" s="13">
        <f t="shared" si="4"/>
        <v>-3.3364226135310475E-2</v>
      </c>
      <c r="T21" s="12">
        <f t="shared" ref="T21:U21" si="8">+T12+T20</f>
        <v>494680.34</v>
      </c>
      <c r="U21" s="12">
        <f t="shared" si="8"/>
        <v>495639.6</v>
      </c>
      <c r="V21" s="13">
        <f t="shared" si="5"/>
        <v>-1.9353982208038889E-3</v>
      </c>
      <c r="W21" s="89"/>
      <c r="X21" s="70"/>
    </row>
    <row r="22" spans="1:24" ht="6" customHeight="1" x14ac:dyDescent="0.3">
      <c r="A22" s="47">
        <v>18</v>
      </c>
      <c r="R22" s="7"/>
      <c r="W22" s="89"/>
      <c r="X22" s="70"/>
    </row>
    <row r="23" spans="1:24" ht="18" x14ac:dyDescent="0.3">
      <c r="A23" s="47">
        <v>19</v>
      </c>
      <c r="B23" s="9" t="s">
        <v>13</v>
      </c>
      <c r="R23" s="7"/>
      <c r="W23" s="89"/>
      <c r="X23" s="70"/>
    </row>
    <row r="24" spans="1:24" ht="18" x14ac:dyDescent="0.3">
      <c r="A24" s="47">
        <v>20</v>
      </c>
      <c r="B24" s="9" t="s">
        <v>97</v>
      </c>
      <c r="R24" s="7"/>
      <c r="W24" s="89"/>
      <c r="X24" s="70"/>
    </row>
    <row r="25" spans="1:24" hidden="1" x14ac:dyDescent="0.3">
      <c r="A25" s="47">
        <v>21</v>
      </c>
      <c r="C25" s="1" t="s">
        <v>14</v>
      </c>
      <c r="O25" s="1">
        <f>+O21</f>
        <v>521500</v>
      </c>
      <c r="P25" s="1">
        <f>+P21</f>
        <v>539500</v>
      </c>
      <c r="Q25" s="40">
        <f t="shared" ref="Q25:Q28" si="9">+O25-P25</f>
        <v>-18000</v>
      </c>
      <c r="R25" s="7"/>
      <c r="W25" s="89"/>
      <c r="X25" s="70"/>
    </row>
    <row r="26" spans="1:24" hidden="1" x14ac:dyDescent="0.3">
      <c r="A26" s="47">
        <v>23</v>
      </c>
      <c r="C26" s="1" t="s">
        <v>15</v>
      </c>
      <c r="O26" s="40">
        <f>-O169</f>
        <v>0</v>
      </c>
      <c r="P26" s="40">
        <f>-P169</f>
        <v>0</v>
      </c>
      <c r="Q26" s="40">
        <f t="shared" si="9"/>
        <v>0</v>
      </c>
      <c r="R26" s="7"/>
      <c r="T26" s="40"/>
      <c r="U26" s="40"/>
      <c r="W26" s="89"/>
      <c r="X26" s="70"/>
    </row>
    <row r="27" spans="1:24" hidden="1" x14ac:dyDescent="0.3">
      <c r="A27" s="47">
        <v>24</v>
      </c>
      <c r="C27" s="1" t="s">
        <v>16</v>
      </c>
      <c r="O27" s="40">
        <f>-O159</f>
        <v>0</v>
      </c>
      <c r="P27" s="40">
        <f>-P159</f>
        <v>0</v>
      </c>
      <c r="Q27" s="40">
        <f t="shared" si="9"/>
        <v>0</v>
      </c>
      <c r="R27" s="7"/>
      <c r="T27" s="40"/>
      <c r="U27" s="40"/>
      <c r="W27" s="89"/>
      <c r="X27" s="70"/>
    </row>
    <row r="28" spans="1:24" hidden="1" x14ac:dyDescent="0.3">
      <c r="A28" s="47">
        <v>25</v>
      </c>
      <c r="C28" s="1" t="s">
        <v>120</v>
      </c>
      <c r="O28" s="1">
        <f>SUM(O25:O27)</f>
        <v>521500</v>
      </c>
      <c r="P28" s="1">
        <f>SUM(P25:P27)</f>
        <v>539500</v>
      </c>
      <c r="Q28" s="40">
        <f t="shared" si="9"/>
        <v>-18000</v>
      </c>
      <c r="R28" s="7"/>
      <c r="W28" s="89"/>
      <c r="X28" s="70"/>
    </row>
    <row r="29" spans="1:24" s="4" customFormat="1" x14ac:dyDescent="0.3">
      <c r="A29" s="47">
        <v>26</v>
      </c>
      <c r="B29" s="14"/>
      <c r="C29" s="15" t="s">
        <v>98</v>
      </c>
      <c r="D29" s="15"/>
      <c r="E29" s="103"/>
      <c r="F29" s="104"/>
      <c r="G29" s="104"/>
      <c r="H29" s="104"/>
      <c r="I29" s="104"/>
      <c r="J29" s="104"/>
      <c r="K29" s="104"/>
      <c r="L29" s="104"/>
      <c r="M29" s="104"/>
      <c r="N29" s="14"/>
      <c r="O29" s="14">
        <f>ROUND(+O28*0.1,0)</f>
        <v>52150</v>
      </c>
      <c r="P29" s="14">
        <f>ROUND(+P28*0.1,0)</f>
        <v>53950</v>
      </c>
      <c r="Q29" s="14">
        <f>ROUND(+Q28*0.1,0)</f>
        <v>-1800</v>
      </c>
      <c r="R29" s="16">
        <f>IF(P29=0,"NA",(+O29-P29)/P29)</f>
        <v>-3.3364226135310475E-2</v>
      </c>
      <c r="S29" s="1"/>
      <c r="T29" s="57">
        <v>45891.63</v>
      </c>
      <c r="U29" s="57">
        <v>46487.5</v>
      </c>
      <c r="V29" s="16">
        <f>IF(U29=0,"NA",(+T29-U29)/U29)</f>
        <v>-1.2817854261898416E-2</v>
      </c>
      <c r="W29" s="90"/>
      <c r="X29" s="71"/>
    </row>
    <row r="30" spans="1:24" s="4" customFormat="1" ht="6.75" customHeight="1" x14ac:dyDescent="0.3">
      <c r="A30" s="47">
        <v>27</v>
      </c>
      <c r="B30" s="17"/>
      <c r="C30" s="18"/>
      <c r="D30" s="17"/>
      <c r="E30" s="100"/>
      <c r="F30" s="100"/>
      <c r="G30" s="100"/>
      <c r="H30" s="100"/>
      <c r="I30" s="100"/>
      <c r="J30" s="100"/>
      <c r="K30" s="100"/>
      <c r="L30" s="100"/>
      <c r="M30" s="100"/>
      <c r="N30" s="17"/>
      <c r="O30" s="17"/>
      <c r="P30" s="19"/>
      <c r="Q30" s="17"/>
      <c r="R30" s="20"/>
      <c r="S30" s="1"/>
      <c r="T30" s="17"/>
      <c r="U30" s="17"/>
      <c r="V30" s="20"/>
      <c r="W30" s="91"/>
      <c r="X30" s="72"/>
    </row>
    <row r="31" spans="1:24" s="4" customFormat="1" ht="18" x14ac:dyDescent="0.3">
      <c r="A31" s="47">
        <v>28</v>
      </c>
      <c r="B31" s="21" t="s">
        <v>67</v>
      </c>
      <c r="C31" s="18"/>
      <c r="D31" s="17"/>
      <c r="E31" s="100"/>
      <c r="F31" s="100"/>
      <c r="G31" s="100"/>
      <c r="H31" s="100"/>
      <c r="I31" s="100"/>
      <c r="J31" s="100"/>
      <c r="K31" s="100"/>
      <c r="L31" s="100"/>
      <c r="M31" s="100"/>
      <c r="N31" s="17"/>
      <c r="O31" s="17"/>
      <c r="P31" s="19"/>
      <c r="Q31" s="17"/>
      <c r="R31" s="20"/>
      <c r="S31" s="1"/>
      <c r="T31" s="17"/>
      <c r="U31" s="17"/>
      <c r="V31" s="20"/>
      <c r="W31" s="91"/>
      <c r="X31" s="72"/>
    </row>
    <row r="32" spans="1:24" x14ac:dyDescent="0.3">
      <c r="A32" s="47">
        <v>29</v>
      </c>
      <c r="B32" s="4" t="s">
        <v>17</v>
      </c>
      <c r="R32" s="7"/>
      <c r="W32" s="89"/>
      <c r="X32" s="70"/>
    </row>
    <row r="33" spans="1:24" ht="28.8" x14ac:dyDescent="0.3">
      <c r="A33" s="47">
        <v>30</v>
      </c>
      <c r="C33" s="1" t="s">
        <v>89</v>
      </c>
      <c r="O33" s="63">
        <v>2000</v>
      </c>
      <c r="P33" s="63">
        <v>3000</v>
      </c>
      <c r="Q33" s="40">
        <f t="shared" ref="Q33:Q39" si="10">+O33-P33</f>
        <v>-1000</v>
      </c>
      <c r="R33" s="6">
        <f t="shared" ref="R33:R40" si="11">IF(P33=0,"NA",(+O33-P33)/P33)</f>
        <v>-0.33333333333333331</v>
      </c>
      <c r="T33" s="63">
        <v>692.82</v>
      </c>
      <c r="U33" s="63">
        <v>2750</v>
      </c>
      <c r="V33" s="6">
        <f t="shared" ref="V33:V40" si="12">IF(U33=0,"NA",(+T33-U33)/U33)</f>
        <v>-0.74806545454545448</v>
      </c>
      <c r="W33" s="73" t="s">
        <v>201</v>
      </c>
      <c r="X33" s="69" t="s">
        <v>137</v>
      </c>
    </row>
    <row r="34" spans="1:24" ht="28.8" x14ac:dyDescent="0.3">
      <c r="A34" s="47">
        <v>31</v>
      </c>
      <c r="C34" s="1" t="s">
        <v>18</v>
      </c>
      <c r="O34" s="63">
        <v>1000</v>
      </c>
      <c r="P34" s="63">
        <v>1400</v>
      </c>
      <c r="Q34" s="40">
        <f t="shared" si="10"/>
        <v>-400</v>
      </c>
      <c r="R34" s="6">
        <f t="shared" si="11"/>
        <v>-0.2857142857142857</v>
      </c>
      <c r="T34" s="63">
        <v>951.85</v>
      </c>
      <c r="U34" s="63">
        <v>1283.3699999999999</v>
      </c>
      <c r="V34" s="6">
        <f t="shared" si="12"/>
        <v>-0.25831989215892526</v>
      </c>
      <c r="W34" s="73" t="s">
        <v>202</v>
      </c>
      <c r="X34" s="73" t="s">
        <v>138</v>
      </c>
    </row>
    <row r="35" spans="1:24" x14ac:dyDescent="0.3">
      <c r="A35" s="47">
        <v>32</v>
      </c>
      <c r="C35" s="1" t="s">
        <v>19</v>
      </c>
      <c r="O35" s="136">
        <v>500</v>
      </c>
      <c r="P35" s="63">
        <v>600</v>
      </c>
      <c r="Q35" s="40">
        <f t="shared" si="10"/>
        <v>-100</v>
      </c>
      <c r="R35" s="6">
        <f t="shared" si="11"/>
        <v>-0.16666666666666666</v>
      </c>
      <c r="T35" s="63">
        <v>120.41</v>
      </c>
      <c r="U35" s="63">
        <v>600</v>
      </c>
      <c r="V35" s="6">
        <f t="shared" si="12"/>
        <v>-0.79931666666666668</v>
      </c>
      <c r="W35" s="73" t="s">
        <v>206</v>
      </c>
      <c r="X35" s="73" t="s">
        <v>139</v>
      </c>
    </row>
    <row r="36" spans="1:24" ht="14.4" customHeight="1" x14ac:dyDescent="0.3">
      <c r="A36" s="47">
        <v>33</v>
      </c>
      <c r="C36" s="1" t="s">
        <v>20</v>
      </c>
      <c r="O36" s="136">
        <v>200</v>
      </c>
      <c r="P36" s="63">
        <v>500</v>
      </c>
      <c r="Q36" s="40">
        <f t="shared" si="10"/>
        <v>-300</v>
      </c>
      <c r="R36" s="6">
        <f t="shared" si="11"/>
        <v>-0.6</v>
      </c>
      <c r="T36" s="63">
        <v>497.05</v>
      </c>
      <c r="U36" s="63">
        <v>458.37</v>
      </c>
      <c r="V36" s="6">
        <f t="shared" si="12"/>
        <v>8.4385976394615717E-2</v>
      </c>
      <c r="W36" s="73" t="s">
        <v>205</v>
      </c>
      <c r="X36" s="69" t="s">
        <v>140</v>
      </c>
    </row>
    <row r="37" spans="1:24" ht="28.8" x14ac:dyDescent="0.3">
      <c r="A37" s="47">
        <v>34</v>
      </c>
      <c r="C37" s="1" t="s">
        <v>21</v>
      </c>
      <c r="O37" s="63">
        <v>200</v>
      </c>
      <c r="P37" s="63">
        <v>400</v>
      </c>
      <c r="Q37" s="40">
        <f t="shared" si="10"/>
        <v>-200</v>
      </c>
      <c r="R37" s="6">
        <f t="shared" si="11"/>
        <v>-0.5</v>
      </c>
      <c r="T37" s="63">
        <v>165.99</v>
      </c>
      <c r="U37" s="63">
        <v>400</v>
      </c>
      <c r="V37" s="6">
        <f t="shared" si="12"/>
        <v>-0.58502500000000002</v>
      </c>
      <c r="W37" s="73" t="s">
        <v>207</v>
      </c>
      <c r="X37" s="73" t="s">
        <v>141</v>
      </c>
    </row>
    <row r="38" spans="1:24" ht="39.6" customHeight="1" x14ac:dyDescent="0.3">
      <c r="C38" s="1" t="s">
        <v>116</v>
      </c>
      <c r="O38" s="63">
        <v>750</v>
      </c>
      <c r="P38" s="63">
        <v>750</v>
      </c>
      <c r="Q38" s="40">
        <f t="shared" si="10"/>
        <v>0</v>
      </c>
      <c r="R38" s="6">
        <f t="shared" ref="R38" si="13">IF(P38=0,"NA",(+O38-P38)/P38)</f>
        <v>0</v>
      </c>
      <c r="T38" s="136">
        <v>901.02</v>
      </c>
      <c r="U38" s="63">
        <v>687.5</v>
      </c>
      <c r="V38" s="6">
        <f t="shared" ref="V38" si="14">IF(U38=0,"NA",(+T38-U38)/U38)</f>
        <v>0.31057454545454544</v>
      </c>
      <c r="W38" s="73" t="s">
        <v>249</v>
      </c>
      <c r="X38" s="73" t="s">
        <v>142</v>
      </c>
    </row>
    <row r="39" spans="1:24" ht="14.4" customHeight="1" x14ac:dyDescent="0.3">
      <c r="A39" s="47">
        <v>35</v>
      </c>
      <c r="C39" s="1" t="s">
        <v>93</v>
      </c>
      <c r="O39" s="63">
        <v>200</v>
      </c>
      <c r="P39" s="63">
        <v>400</v>
      </c>
      <c r="Q39" s="40">
        <f t="shared" si="10"/>
        <v>-200</v>
      </c>
      <c r="R39" s="6">
        <f t="shared" si="11"/>
        <v>-0.5</v>
      </c>
      <c r="T39" s="63">
        <v>305.16000000000003</v>
      </c>
      <c r="U39" s="63">
        <v>400</v>
      </c>
      <c r="V39" s="6">
        <f t="shared" si="12"/>
        <v>-0.23709999999999995</v>
      </c>
      <c r="W39" s="73" t="s">
        <v>203</v>
      </c>
      <c r="X39" s="73" t="s">
        <v>143</v>
      </c>
    </row>
    <row r="40" spans="1:24" s="4" customFormat="1" x14ac:dyDescent="0.3">
      <c r="A40" s="47">
        <v>36</v>
      </c>
      <c r="B40" s="22" t="s">
        <v>22</v>
      </c>
      <c r="C40" s="22"/>
      <c r="D40" s="39"/>
      <c r="E40" s="105"/>
      <c r="F40" s="105"/>
      <c r="G40" s="105"/>
      <c r="H40" s="105"/>
      <c r="I40" s="105"/>
      <c r="J40" s="105"/>
      <c r="K40" s="105"/>
      <c r="L40" s="105"/>
      <c r="M40" s="105"/>
      <c r="N40" s="39"/>
      <c r="O40" s="22">
        <f>SUM(O33:O39)</f>
        <v>4850</v>
      </c>
      <c r="P40" s="39">
        <f>SUM(P33:P39)</f>
        <v>7050</v>
      </c>
      <c r="Q40" s="39">
        <f>SUM(Q33:Q39)</f>
        <v>-2200</v>
      </c>
      <c r="R40" s="23">
        <f t="shared" si="11"/>
        <v>-0.31205673758865249</v>
      </c>
      <c r="T40" s="39">
        <f t="shared" ref="T40:U40" si="15">SUM(T33:T39)</f>
        <v>3634.2999999999997</v>
      </c>
      <c r="U40" s="39">
        <f t="shared" si="15"/>
        <v>6579.24</v>
      </c>
      <c r="V40" s="23">
        <f t="shared" si="12"/>
        <v>-0.44761097026404267</v>
      </c>
      <c r="W40" s="91"/>
      <c r="X40" s="72"/>
    </row>
    <row r="41" spans="1:24" ht="6" customHeight="1" x14ac:dyDescent="0.3">
      <c r="A41" s="47">
        <v>37</v>
      </c>
      <c r="R41" s="7"/>
      <c r="W41" s="89"/>
      <c r="X41" s="70"/>
    </row>
    <row r="42" spans="1:24" x14ac:dyDescent="0.3">
      <c r="A42" s="47">
        <v>40</v>
      </c>
      <c r="B42" s="4" t="s">
        <v>172</v>
      </c>
      <c r="R42" s="7"/>
      <c r="W42" s="89"/>
      <c r="X42" s="70"/>
    </row>
    <row r="43" spans="1:24" ht="14.4" customHeight="1" x14ac:dyDescent="0.3">
      <c r="A43" s="47">
        <v>41</v>
      </c>
      <c r="C43" s="1" t="s">
        <v>23</v>
      </c>
      <c r="O43" s="136">
        <v>5000</v>
      </c>
      <c r="P43" s="63">
        <v>6000</v>
      </c>
      <c r="Q43" s="40">
        <f t="shared" ref="Q43:Q46" si="16">+O43-P43</f>
        <v>-1000</v>
      </c>
      <c r="R43" s="6">
        <f t="shared" ref="R43:R47" si="17">IF(P43=0,"NA",(+O43-P43)/P43)</f>
        <v>-0.16666666666666666</v>
      </c>
      <c r="T43" s="63">
        <v>3756.68</v>
      </c>
      <c r="U43" s="63">
        <v>5500</v>
      </c>
      <c r="V43" s="6">
        <f>IF(U43=0,"NA",(+T43-U43)/U43)</f>
        <v>-0.31696727272727276</v>
      </c>
      <c r="W43" s="73" t="s">
        <v>204</v>
      </c>
      <c r="X43" s="73" t="s">
        <v>164</v>
      </c>
    </row>
    <row r="44" spans="1:24" x14ac:dyDescent="0.3">
      <c r="C44" s="1" t="s">
        <v>178</v>
      </c>
      <c r="O44" s="136">
        <v>0</v>
      </c>
      <c r="P44" s="63">
        <v>0</v>
      </c>
      <c r="Q44" s="40">
        <f t="shared" ref="Q44" si="18">+O44-P44</f>
        <v>0</v>
      </c>
      <c r="R44" s="6" t="str">
        <f t="shared" ref="R44" si="19">IF(P44=0,"NA",(+O44-P44)/P44)</f>
        <v>NA</v>
      </c>
      <c r="T44" s="63">
        <v>0</v>
      </c>
      <c r="U44" s="63">
        <v>0</v>
      </c>
      <c r="V44" s="6" t="str">
        <f>IF(U44=0,"NA",(+T44-U44)/U44)</f>
        <v>NA</v>
      </c>
      <c r="W44" s="73" t="s">
        <v>208</v>
      </c>
      <c r="X44" s="73"/>
    </row>
    <row r="45" spans="1:24" x14ac:dyDescent="0.3">
      <c r="A45" s="47">
        <v>43</v>
      </c>
      <c r="C45" s="1" t="s">
        <v>24</v>
      </c>
      <c r="O45" s="136">
        <v>100</v>
      </c>
      <c r="P45" s="63">
        <v>200</v>
      </c>
      <c r="Q45" s="40">
        <f t="shared" si="16"/>
        <v>-100</v>
      </c>
      <c r="R45" s="6">
        <f t="shared" si="17"/>
        <v>-0.5</v>
      </c>
      <c r="T45" s="63">
        <v>48.91</v>
      </c>
      <c r="U45" s="63">
        <v>183.37</v>
      </c>
      <c r="V45" s="6">
        <f>IF(U45=0,"NA",(+T45-U45)/U45)</f>
        <v>-0.73327152751267932</v>
      </c>
      <c r="W45" s="73" t="s">
        <v>209</v>
      </c>
      <c r="X45" s="69" t="s">
        <v>163</v>
      </c>
    </row>
    <row r="46" spans="1:24" x14ac:dyDescent="0.3">
      <c r="A46" s="47">
        <v>44</v>
      </c>
      <c r="C46" s="1" t="s">
        <v>25</v>
      </c>
      <c r="O46" s="63">
        <v>200</v>
      </c>
      <c r="P46" s="63">
        <v>200</v>
      </c>
      <c r="Q46" s="40">
        <f t="shared" si="16"/>
        <v>0</v>
      </c>
      <c r="R46" s="6">
        <f t="shared" si="17"/>
        <v>0</v>
      </c>
      <c r="T46" s="63">
        <v>134.5</v>
      </c>
      <c r="U46" s="63">
        <v>183.37</v>
      </c>
      <c r="V46" s="6">
        <f>IF(U46=0,"NA",(+T46-U46)/U46)</f>
        <v>-0.26651033429677701</v>
      </c>
      <c r="W46" s="73" t="s">
        <v>179</v>
      </c>
      <c r="X46" s="70"/>
    </row>
    <row r="47" spans="1:24" s="4" customFormat="1" x14ac:dyDescent="0.3">
      <c r="A47" s="47">
        <v>45</v>
      </c>
      <c r="B47" s="22" t="s">
        <v>173</v>
      </c>
      <c r="C47" s="22"/>
      <c r="D47" s="39"/>
      <c r="E47" s="105"/>
      <c r="F47" s="105"/>
      <c r="G47" s="105"/>
      <c r="H47" s="105"/>
      <c r="I47" s="105"/>
      <c r="J47" s="105"/>
      <c r="K47" s="105"/>
      <c r="L47" s="105"/>
      <c r="M47" s="105"/>
      <c r="N47" s="39"/>
      <c r="O47" s="22">
        <f>SUM(O43:O46)</f>
        <v>5300</v>
      </c>
      <c r="P47" s="39">
        <f>SUM(P43:P46)</f>
        <v>6400</v>
      </c>
      <c r="Q47" s="39">
        <f>SUM(Q43:Q46)</f>
        <v>-1100</v>
      </c>
      <c r="R47" s="23">
        <f t="shared" si="17"/>
        <v>-0.171875</v>
      </c>
      <c r="T47" s="39">
        <f>SUM(T43:T46)</f>
        <v>3940.0899999999997</v>
      </c>
      <c r="U47" s="39">
        <f>SUM(U43:U46)</f>
        <v>5866.74</v>
      </c>
      <c r="V47" s="23">
        <f>IF(U47=0,"NA",(+T47-U47)/U47)</f>
        <v>-0.32840214497318787</v>
      </c>
      <c r="W47" s="89"/>
      <c r="X47" s="70"/>
    </row>
    <row r="48" spans="1:24" ht="6.75" customHeight="1" x14ac:dyDescent="0.3">
      <c r="A48" s="47">
        <v>46</v>
      </c>
      <c r="D48" s="1"/>
      <c r="E48" s="42"/>
      <c r="R48" s="7"/>
      <c r="W48" s="89"/>
      <c r="X48" s="70"/>
    </row>
    <row r="49" spans="1:24" s="4" customFormat="1" x14ac:dyDescent="0.3">
      <c r="A49" s="47">
        <v>51</v>
      </c>
      <c r="B49" s="22" t="s">
        <v>26</v>
      </c>
      <c r="C49" s="22"/>
      <c r="D49" s="39"/>
      <c r="E49" s="105"/>
      <c r="F49" s="105"/>
      <c r="G49" s="105"/>
      <c r="H49" s="105"/>
      <c r="I49" s="105"/>
      <c r="J49" s="105"/>
      <c r="K49" s="105"/>
      <c r="L49" s="105"/>
      <c r="M49" s="105"/>
      <c r="N49" s="39"/>
      <c r="O49" s="59">
        <v>12800</v>
      </c>
      <c r="P49" s="59">
        <v>11000</v>
      </c>
      <c r="Q49" s="49">
        <f t="shared" ref="Q49" si="20">+O49-P49</f>
        <v>1800</v>
      </c>
      <c r="R49" s="23">
        <f t="shared" ref="R49" si="21">IF(P49=0,"NA",(+O49-P49)/P49)</f>
        <v>0.16363636363636364</v>
      </c>
      <c r="T49" s="59">
        <v>9815.24</v>
      </c>
      <c r="U49" s="59">
        <v>10600</v>
      </c>
      <c r="V49" s="23">
        <f>IF(U49=0,"NA",(+T49-U49)/U49)</f>
        <v>-7.403396226415096E-2</v>
      </c>
      <c r="W49" s="73" t="s">
        <v>210</v>
      </c>
      <c r="X49" s="69"/>
    </row>
    <row r="50" spans="1:24" ht="6.75" customHeight="1" x14ac:dyDescent="0.3">
      <c r="A50" s="47">
        <v>52</v>
      </c>
      <c r="R50" s="7"/>
      <c r="W50" s="89"/>
      <c r="X50" s="70"/>
    </row>
    <row r="51" spans="1:24" x14ac:dyDescent="0.3">
      <c r="A51" s="47">
        <v>53</v>
      </c>
      <c r="B51" s="4" t="s">
        <v>99</v>
      </c>
      <c r="R51" s="7"/>
      <c r="W51" s="89"/>
      <c r="X51" s="70"/>
    </row>
    <row r="52" spans="1:24" x14ac:dyDescent="0.3">
      <c r="A52" s="47">
        <v>54</v>
      </c>
      <c r="C52" s="1" t="s">
        <v>101</v>
      </c>
      <c r="O52" s="63">
        <v>400</v>
      </c>
      <c r="P52" s="63">
        <v>400</v>
      </c>
      <c r="Q52" s="40">
        <f t="shared" ref="Q52:Q53" si="22">+O52-P52</f>
        <v>0</v>
      </c>
      <c r="R52" s="6">
        <f t="shared" ref="R52:R54" si="23">IF(P52=0,"NA",(+O52-P52)/P52)</f>
        <v>0</v>
      </c>
      <c r="T52" s="63">
        <v>-203.82</v>
      </c>
      <c r="U52" s="63">
        <v>366.63</v>
      </c>
      <c r="V52" s="6">
        <f>IF(U52=0,"NA",(+T52-U52)/U52)</f>
        <v>-1.5559283201047378</v>
      </c>
      <c r="W52" s="73"/>
      <c r="X52" s="69"/>
    </row>
    <row r="53" spans="1:24" x14ac:dyDescent="0.3">
      <c r="A53" s="47">
        <v>55</v>
      </c>
      <c r="C53" s="1" t="s">
        <v>96</v>
      </c>
      <c r="O53" s="63">
        <v>150</v>
      </c>
      <c r="P53" s="63">
        <v>500</v>
      </c>
      <c r="Q53" s="40">
        <f t="shared" si="22"/>
        <v>-350</v>
      </c>
      <c r="R53" s="6">
        <f t="shared" si="23"/>
        <v>-0.7</v>
      </c>
      <c r="T53" s="63">
        <v>58.27</v>
      </c>
      <c r="U53" s="63">
        <v>458.37</v>
      </c>
      <c r="V53" s="6">
        <f>IF(U53=0,"NA",(+T53-U53)/U53)</f>
        <v>-0.87287562449549494</v>
      </c>
      <c r="W53" s="73"/>
      <c r="X53" s="69"/>
    </row>
    <row r="54" spans="1:24" s="4" customFormat="1" x14ac:dyDescent="0.3">
      <c r="A54" s="47">
        <v>56</v>
      </c>
      <c r="B54" s="22" t="s">
        <v>95</v>
      </c>
      <c r="C54" s="22"/>
      <c r="D54" s="39"/>
      <c r="E54" s="105"/>
      <c r="F54" s="105"/>
      <c r="G54" s="105"/>
      <c r="H54" s="105"/>
      <c r="I54" s="105"/>
      <c r="J54" s="105"/>
      <c r="K54" s="105"/>
      <c r="L54" s="105"/>
      <c r="M54" s="105"/>
      <c r="N54" s="39"/>
      <c r="O54" s="22">
        <f>SUM(O52:O53)</f>
        <v>550</v>
      </c>
      <c r="P54" s="39">
        <f>SUM(P52:P53)</f>
        <v>900</v>
      </c>
      <c r="Q54" s="39">
        <f>SUM(Q52:Q53)</f>
        <v>-350</v>
      </c>
      <c r="R54" s="23">
        <f t="shared" si="23"/>
        <v>-0.3888888888888889</v>
      </c>
      <c r="T54" s="39">
        <f>SUM(T52:T53)</f>
        <v>-145.54999999999998</v>
      </c>
      <c r="U54" s="39">
        <f>SUM(U52:U53)</f>
        <v>825</v>
      </c>
      <c r="V54" s="23">
        <f>IF(U54=0,"NA",(+T54-U54)/U54)</f>
        <v>-1.1764242424242424</v>
      </c>
      <c r="W54" s="91"/>
      <c r="X54" s="72"/>
    </row>
    <row r="55" spans="1:24" ht="5.25" customHeight="1" x14ac:dyDescent="0.3">
      <c r="A55" s="47">
        <v>57</v>
      </c>
      <c r="R55" s="7"/>
      <c r="W55" s="89"/>
      <c r="X55" s="70"/>
    </row>
    <row r="56" spans="1:24" ht="43.2" x14ac:dyDescent="0.3">
      <c r="A56" s="47">
        <v>58</v>
      </c>
      <c r="B56" s="22" t="s">
        <v>27</v>
      </c>
      <c r="C56" s="24"/>
      <c r="D56" s="24"/>
      <c r="E56" s="106"/>
      <c r="F56" s="106"/>
      <c r="G56" s="106"/>
      <c r="H56" s="106"/>
      <c r="I56" s="106"/>
      <c r="J56" s="106"/>
      <c r="K56" s="106"/>
      <c r="L56" s="106"/>
      <c r="M56" s="106"/>
      <c r="N56" s="24"/>
      <c r="O56" s="64">
        <v>200</v>
      </c>
      <c r="P56" s="64">
        <v>250</v>
      </c>
      <c r="Q56" s="49">
        <f t="shared" ref="Q56" si="24">+O56-P56</f>
        <v>-50</v>
      </c>
      <c r="R56" s="23">
        <f>IF(P56=0,"NA",(+O56-P56)/P56)</f>
        <v>-0.2</v>
      </c>
      <c r="T56" s="64">
        <v>300</v>
      </c>
      <c r="U56" s="64">
        <v>250</v>
      </c>
      <c r="V56" s="23">
        <f>IF(U56=0,"NA",(+T56-U56)/U56)</f>
        <v>0.2</v>
      </c>
      <c r="W56" s="73" t="s">
        <v>211</v>
      </c>
      <c r="X56" s="69" t="s">
        <v>131</v>
      </c>
    </row>
    <row r="57" spans="1:24" ht="6" customHeight="1" x14ac:dyDescent="0.3">
      <c r="A57" s="47">
        <v>59</v>
      </c>
      <c r="R57" s="7"/>
      <c r="W57" s="89"/>
      <c r="X57" s="70"/>
    </row>
    <row r="58" spans="1:24" x14ac:dyDescent="0.3">
      <c r="A58" s="47">
        <v>60</v>
      </c>
      <c r="B58" s="4" t="s">
        <v>28</v>
      </c>
      <c r="R58" s="7"/>
      <c r="W58" s="89"/>
      <c r="X58" s="70"/>
    </row>
    <row r="59" spans="1:24" x14ac:dyDescent="0.3">
      <c r="A59" s="47">
        <v>61</v>
      </c>
      <c r="C59" s="1" t="s">
        <v>29</v>
      </c>
      <c r="O59" s="63">
        <v>200</v>
      </c>
      <c r="P59" s="63">
        <v>200</v>
      </c>
      <c r="Q59" s="40">
        <f t="shared" ref="Q59:Q64" si="25">+O59-P59</f>
        <v>0</v>
      </c>
      <c r="R59" s="6">
        <f t="shared" ref="R59:R65" si="26">IF(P59=0,"NA",(+O59-P59)/P59)</f>
        <v>0</v>
      </c>
      <c r="T59" s="63">
        <v>63.25</v>
      </c>
      <c r="U59" s="63">
        <v>200</v>
      </c>
      <c r="V59" s="6">
        <f t="shared" ref="V59:V65" si="27">IF(U59=0,"NA",(+T59-U59)/U59)</f>
        <v>-0.68374999999999997</v>
      </c>
      <c r="W59" s="89"/>
      <c r="X59" s="70"/>
    </row>
    <row r="60" spans="1:24" ht="15.6" x14ac:dyDescent="0.3">
      <c r="A60" s="47">
        <v>62</v>
      </c>
      <c r="C60" s="1" t="s">
        <v>30</v>
      </c>
      <c r="O60" s="63">
        <v>800</v>
      </c>
      <c r="P60" s="63">
        <v>800</v>
      </c>
      <c r="Q60" s="40">
        <f t="shared" si="25"/>
        <v>0</v>
      </c>
      <c r="R60" s="6">
        <f t="shared" si="26"/>
        <v>0</v>
      </c>
      <c r="T60" s="63">
        <v>875.84</v>
      </c>
      <c r="U60" s="63">
        <v>800</v>
      </c>
      <c r="V60" s="6">
        <f t="shared" si="27"/>
        <v>9.4800000000000037E-2</v>
      </c>
      <c r="W60" s="92"/>
      <c r="X60" s="74" t="s">
        <v>129</v>
      </c>
    </row>
    <row r="61" spans="1:24" x14ac:dyDescent="0.3">
      <c r="A61" s="47">
        <v>63</v>
      </c>
      <c r="C61" s="1" t="s">
        <v>31</v>
      </c>
      <c r="O61" s="65">
        <v>1500</v>
      </c>
      <c r="P61" s="65">
        <f>ROUND(1200+(150*2*5),0)</f>
        <v>2700</v>
      </c>
      <c r="Q61" s="40">
        <f t="shared" si="25"/>
        <v>-1200</v>
      </c>
      <c r="R61" s="6">
        <f t="shared" si="26"/>
        <v>-0.44444444444444442</v>
      </c>
      <c r="T61" s="63">
        <v>1334</v>
      </c>
      <c r="U61" s="63">
        <v>2700</v>
      </c>
      <c r="V61" s="6">
        <f t="shared" si="27"/>
        <v>-0.50592592592592589</v>
      </c>
      <c r="W61" s="73" t="s">
        <v>223</v>
      </c>
      <c r="X61" s="75"/>
    </row>
    <row r="62" spans="1:24" x14ac:dyDescent="0.3">
      <c r="A62" s="47">
        <v>64</v>
      </c>
      <c r="C62" s="1" t="s">
        <v>32</v>
      </c>
      <c r="O62" s="65">
        <v>3000</v>
      </c>
      <c r="P62" s="65">
        <v>10000</v>
      </c>
      <c r="Q62" s="40">
        <f t="shared" si="25"/>
        <v>-7000</v>
      </c>
      <c r="R62" s="6">
        <f t="shared" si="26"/>
        <v>-0.7</v>
      </c>
      <c r="T62" s="63">
        <v>380</v>
      </c>
      <c r="U62" s="63">
        <v>9166.6299999999992</v>
      </c>
      <c r="V62" s="6">
        <f t="shared" si="27"/>
        <v>-0.95854528872660949</v>
      </c>
      <c r="W62" s="73"/>
      <c r="X62" s="73"/>
    </row>
    <row r="63" spans="1:24" x14ac:dyDescent="0.3">
      <c r="C63" s="1" t="s">
        <v>122</v>
      </c>
      <c r="O63" s="65">
        <v>200</v>
      </c>
      <c r="P63" s="65">
        <v>300</v>
      </c>
      <c r="Q63" s="40">
        <f t="shared" ref="Q63" si="28">+O63-P63</f>
        <v>-100</v>
      </c>
      <c r="R63" s="6">
        <f t="shared" ref="R63" si="29">IF(P63=0,"NA",(+O63-P63)/P63)</f>
        <v>-0.33333333333333331</v>
      </c>
      <c r="T63" s="63">
        <v>179.14</v>
      </c>
      <c r="U63" s="63">
        <v>275</v>
      </c>
      <c r="V63" s="6">
        <f t="shared" ref="V63" si="30">IF(U63=0,"NA",(+T63-U63)/U63)</f>
        <v>-0.34858181818181821</v>
      </c>
      <c r="W63" s="73"/>
      <c r="X63" s="73"/>
    </row>
    <row r="64" spans="1:24" ht="43.2" x14ac:dyDescent="0.3">
      <c r="A64" s="47">
        <v>65</v>
      </c>
      <c r="C64" s="1" t="s">
        <v>128</v>
      </c>
      <c r="O64" s="96">
        <f>480+800-280</f>
        <v>1000</v>
      </c>
      <c r="P64" s="63">
        <v>800</v>
      </c>
      <c r="Q64" s="40">
        <f t="shared" si="25"/>
        <v>200</v>
      </c>
      <c r="R64" s="6">
        <f t="shared" si="26"/>
        <v>0.25</v>
      </c>
      <c r="T64" s="96">
        <v>1052</v>
      </c>
      <c r="U64" s="65">
        <v>800</v>
      </c>
      <c r="V64" s="6">
        <f t="shared" si="27"/>
        <v>0.315</v>
      </c>
      <c r="W64" s="73" t="s">
        <v>250</v>
      </c>
      <c r="X64" s="69" t="s">
        <v>129</v>
      </c>
    </row>
    <row r="65" spans="1:24" s="4" customFormat="1" x14ac:dyDescent="0.3">
      <c r="A65" s="47">
        <v>66</v>
      </c>
      <c r="B65" s="22" t="s">
        <v>33</v>
      </c>
      <c r="C65" s="22"/>
      <c r="D65" s="39"/>
      <c r="E65" s="105"/>
      <c r="F65" s="105"/>
      <c r="G65" s="105"/>
      <c r="H65" s="105"/>
      <c r="I65" s="105"/>
      <c r="J65" s="105"/>
      <c r="K65" s="105"/>
      <c r="L65" s="105"/>
      <c r="M65" s="105"/>
      <c r="N65" s="39"/>
      <c r="O65" s="22">
        <f>SUM(O59:O64)</f>
        <v>6700</v>
      </c>
      <c r="P65" s="39">
        <f>SUM(P59:P64)</f>
        <v>14800</v>
      </c>
      <c r="Q65" s="39">
        <f>SUM(Q59:Q64)</f>
        <v>-8100</v>
      </c>
      <c r="R65" s="23">
        <f t="shared" si="26"/>
        <v>-0.54729729729729726</v>
      </c>
      <c r="T65" s="39">
        <f>SUM(T59:T64)</f>
        <v>3884.23</v>
      </c>
      <c r="U65" s="39">
        <f>SUM(U59:U64)</f>
        <v>13941.63</v>
      </c>
      <c r="V65" s="23">
        <f t="shared" si="27"/>
        <v>-0.72139340952241593</v>
      </c>
      <c r="W65" s="91"/>
      <c r="X65" s="72"/>
    </row>
    <row r="66" spans="1:24" ht="6" customHeight="1" x14ac:dyDescent="0.3">
      <c r="A66" s="47">
        <v>67</v>
      </c>
      <c r="R66" s="7"/>
      <c r="W66" s="89"/>
      <c r="X66" s="70"/>
    </row>
    <row r="67" spans="1:24" x14ac:dyDescent="0.3">
      <c r="A67" s="47">
        <v>68</v>
      </c>
      <c r="B67" s="4" t="s">
        <v>34</v>
      </c>
      <c r="R67" s="7"/>
      <c r="W67" s="89"/>
      <c r="X67" s="70"/>
    </row>
    <row r="68" spans="1:24" ht="14.4" customHeight="1" x14ac:dyDescent="0.3">
      <c r="A68" s="47">
        <v>69</v>
      </c>
      <c r="C68" s="1" t="s">
        <v>35</v>
      </c>
      <c r="O68" s="65">
        <v>3000</v>
      </c>
      <c r="P68" s="65">
        <f>4500+200</f>
        <v>4700</v>
      </c>
      <c r="Q68" s="40">
        <f t="shared" ref="Q68:Q72" si="31">+O68-P68</f>
        <v>-1700</v>
      </c>
      <c r="R68" s="6">
        <f t="shared" ref="R68:R74" si="32">IF(P68=0,"NA",(+O68-P68)/P68)</f>
        <v>-0.36170212765957449</v>
      </c>
      <c r="T68" s="63">
        <v>2832.35</v>
      </c>
      <c r="U68" s="63">
        <v>4308.37</v>
      </c>
      <c r="V68" s="6">
        <f t="shared" ref="V68:V74" si="33">IF(U68=0,"NA",(+T68-U68)/U68)</f>
        <v>-0.34259360268500616</v>
      </c>
      <c r="W68" s="73"/>
      <c r="X68" s="73" t="s">
        <v>144</v>
      </c>
    </row>
    <row r="69" spans="1:24" x14ac:dyDescent="0.3">
      <c r="A69" s="47">
        <v>70</v>
      </c>
      <c r="C69" s="1" t="s">
        <v>36</v>
      </c>
      <c r="O69" s="136">
        <v>3250</v>
      </c>
      <c r="P69" s="63">
        <f>6000-2000</f>
        <v>4000</v>
      </c>
      <c r="Q69" s="40">
        <f t="shared" si="31"/>
        <v>-750</v>
      </c>
      <c r="R69" s="6">
        <f t="shared" si="32"/>
        <v>-0.1875</v>
      </c>
      <c r="T69" s="63">
        <v>3123.62</v>
      </c>
      <c r="U69" s="63">
        <v>3666.63</v>
      </c>
      <c r="V69" s="6">
        <f t="shared" si="33"/>
        <v>-0.14809511731480957</v>
      </c>
      <c r="W69" s="73"/>
      <c r="X69" s="73" t="s">
        <v>130</v>
      </c>
    </row>
    <row r="70" spans="1:24" ht="30.6" customHeight="1" x14ac:dyDescent="0.3">
      <c r="A70" s="47">
        <v>73</v>
      </c>
      <c r="C70" s="1" t="s">
        <v>37</v>
      </c>
      <c r="O70" s="65">
        <v>13000</v>
      </c>
      <c r="P70" s="65">
        <v>16000</v>
      </c>
      <c r="Q70" s="40">
        <f t="shared" si="31"/>
        <v>-3000</v>
      </c>
      <c r="R70" s="6">
        <f t="shared" si="32"/>
        <v>-0.1875</v>
      </c>
      <c r="T70" s="63">
        <v>11853.9</v>
      </c>
      <c r="U70" s="63">
        <v>14666.63</v>
      </c>
      <c r="V70" s="6">
        <f t="shared" si="33"/>
        <v>-0.19177752489835767</v>
      </c>
      <c r="W70" s="73" t="s">
        <v>180</v>
      </c>
      <c r="X70" s="73" t="s">
        <v>155</v>
      </c>
    </row>
    <row r="71" spans="1:24" ht="21" customHeight="1" thickBot="1" x14ac:dyDescent="0.35">
      <c r="A71" s="47">
        <v>74</v>
      </c>
      <c r="C71" s="1" t="s">
        <v>38</v>
      </c>
      <c r="O71" s="63">
        <v>700</v>
      </c>
      <c r="P71" s="63">
        <v>700</v>
      </c>
      <c r="Q71" s="40">
        <f t="shared" si="31"/>
        <v>0</v>
      </c>
      <c r="R71" s="6">
        <f t="shared" si="32"/>
        <v>0</v>
      </c>
      <c r="T71" s="136">
        <v>1151.6500000000001</v>
      </c>
      <c r="U71" s="63">
        <v>641.63</v>
      </c>
      <c r="V71" s="6">
        <f t="shared" si="33"/>
        <v>0.7948817854526754</v>
      </c>
      <c r="W71" s="73" t="s">
        <v>251</v>
      </c>
      <c r="X71" s="70"/>
    </row>
    <row r="72" spans="1:24" ht="36" customHeight="1" thickBot="1" x14ac:dyDescent="0.35">
      <c r="A72" s="47">
        <v>75</v>
      </c>
      <c r="C72" s="1" t="s">
        <v>39</v>
      </c>
      <c r="E72" s="200" t="s">
        <v>195</v>
      </c>
      <c r="F72" s="201"/>
      <c r="G72" s="201"/>
      <c r="H72" s="201"/>
      <c r="I72" s="201"/>
      <c r="J72" s="201"/>
      <c r="K72" s="201"/>
      <c r="L72" s="201"/>
      <c r="M72" s="202"/>
      <c r="O72" s="65">
        <v>1000</v>
      </c>
      <c r="P72" s="65">
        <v>1600</v>
      </c>
      <c r="Q72" s="40">
        <f t="shared" si="31"/>
        <v>-600</v>
      </c>
      <c r="R72" s="6">
        <f t="shared" si="32"/>
        <v>-0.375</v>
      </c>
      <c r="T72" s="63">
        <v>1248.3699999999999</v>
      </c>
      <c r="U72" s="63">
        <v>1466.63</v>
      </c>
      <c r="V72" s="6">
        <f t="shared" si="33"/>
        <v>-0.14881735679755645</v>
      </c>
      <c r="W72" s="73" t="s">
        <v>181</v>
      </c>
      <c r="X72" s="73" t="s">
        <v>145</v>
      </c>
    </row>
    <row r="73" spans="1:24" s="4" customFormat="1" x14ac:dyDescent="0.3">
      <c r="A73" s="47">
        <v>76</v>
      </c>
      <c r="B73" s="22" t="s">
        <v>41</v>
      </c>
      <c r="C73" s="22"/>
      <c r="D73" s="39"/>
      <c r="E73" s="197">
        <f>Bud_Yr</f>
        <v>2018</v>
      </c>
      <c r="F73" s="198"/>
      <c r="G73" s="198"/>
      <c r="H73" s="198"/>
      <c r="I73" s="198">
        <f>Bud_Yr-1</f>
        <v>2017</v>
      </c>
      <c r="J73" s="198"/>
      <c r="K73" s="198"/>
      <c r="L73" s="198"/>
      <c r="M73" s="121">
        <f>Bud_Yr-2</f>
        <v>2016</v>
      </c>
      <c r="N73" s="39"/>
      <c r="O73" s="22">
        <f>SUM(O68:O72)</f>
        <v>20950</v>
      </c>
      <c r="P73" s="39">
        <f>SUM(P68:P72)</f>
        <v>27000</v>
      </c>
      <c r="Q73" s="39">
        <f>SUM(Q68:Q72)</f>
        <v>-6050</v>
      </c>
      <c r="R73" s="23">
        <f t="shared" si="32"/>
        <v>-0.22407407407407406</v>
      </c>
      <c r="T73" s="39">
        <f>SUM(T68:T72)</f>
        <v>20209.89</v>
      </c>
      <c r="U73" s="39">
        <f>SUM(U68:U72)</f>
        <v>24749.89</v>
      </c>
      <c r="V73" s="23">
        <f t="shared" si="33"/>
        <v>-0.18343515870171545</v>
      </c>
      <c r="W73" s="130"/>
      <c r="X73" s="72"/>
    </row>
    <row r="74" spans="1:24" ht="15" thickBot="1" x14ac:dyDescent="0.35">
      <c r="A74" s="47">
        <v>77</v>
      </c>
      <c r="B74" s="22" t="s">
        <v>94</v>
      </c>
      <c r="C74" s="25"/>
      <c r="D74" s="25"/>
      <c r="E74" s="122" t="s">
        <v>193</v>
      </c>
      <c r="F74" s="123" t="s">
        <v>194</v>
      </c>
      <c r="G74" s="123" t="s">
        <v>197</v>
      </c>
      <c r="H74" s="123" t="s">
        <v>192</v>
      </c>
      <c r="I74" s="123" t="s">
        <v>193</v>
      </c>
      <c r="J74" s="123" t="s">
        <v>194</v>
      </c>
      <c r="K74" s="123" t="s">
        <v>197</v>
      </c>
      <c r="L74" s="123" t="s">
        <v>192</v>
      </c>
      <c r="M74" s="124" t="s">
        <v>194</v>
      </c>
      <c r="N74" s="25"/>
      <c r="O74" s="22">
        <f>+O40+O47+O49+O56+O65+O73+O54</f>
        <v>51350</v>
      </c>
      <c r="P74" s="39">
        <f>+P40+P47+P49+P56+P65+P73+P54</f>
        <v>67400</v>
      </c>
      <c r="Q74" s="39">
        <f>+Q40+Q47+Q49+Q56+Q65+Q73+Q54</f>
        <v>-16050</v>
      </c>
      <c r="R74" s="23">
        <f t="shared" si="32"/>
        <v>-0.23813056379821959</v>
      </c>
      <c r="T74" s="39">
        <f>+T40+T47+T49+T56+T65+T73+T54</f>
        <v>41638.199999999997</v>
      </c>
      <c r="U74" s="39">
        <f>+U40+U47+U49+U56+U65+U73+U54</f>
        <v>62812.5</v>
      </c>
      <c r="V74" s="23">
        <f t="shared" si="33"/>
        <v>-0.33710328358208957</v>
      </c>
      <c r="W74" s="89"/>
      <c r="X74" s="70"/>
    </row>
    <row r="75" spans="1:24" ht="8.25" customHeight="1" x14ac:dyDescent="0.3">
      <c r="A75" s="47">
        <v>78</v>
      </c>
      <c r="R75" s="7"/>
      <c r="W75" s="89"/>
      <c r="X75" s="70"/>
    </row>
    <row r="76" spans="1:24" ht="30" customHeight="1" x14ac:dyDescent="0.3">
      <c r="A76" s="47">
        <v>79</v>
      </c>
      <c r="B76" s="9" t="s">
        <v>40</v>
      </c>
      <c r="F76" s="107">
        <v>0.02</v>
      </c>
      <c r="G76" s="199" t="s">
        <v>109</v>
      </c>
      <c r="H76" s="199"/>
      <c r="I76" s="199"/>
      <c r="J76" s="199"/>
      <c r="K76" s="98" t="s">
        <v>243</v>
      </c>
      <c r="L76" s="107">
        <v>1.4E-2</v>
      </c>
      <c r="N76" s="181" t="s">
        <v>104</v>
      </c>
      <c r="R76" s="7"/>
      <c r="W76" s="89"/>
      <c r="X76" s="70"/>
    </row>
    <row r="77" spans="1:24" ht="15" customHeight="1" x14ac:dyDescent="0.3">
      <c r="A77" s="47">
        <v>80</v>
      </c>
      <c r="B77" s="4" t="s">
        <v>175</v>
      </c>
      <c r="D77" s="61" t="s">
        <v>234</v>
      </c>
      <c r="F77" s="107">
        <v>0.02</v>
      </c>
      <c r="G77" s="199" t="s">
        <v>110</v>
      </c>
      <c r="H77" s="199"/>
      <c r="I77" s="199"/>
      <c r="J77" s="199"/>
      <c r="K77" s="98"/>
      <c r="N77" s="181"/>
      <c r="Q77" s="171"/>
      <c r="R77" s="7"/>
      <c r="T77" s="37"/>
      <c r="U77" s="37"/>
      <c r="W77" s="73"/>
      <c r="X77" s="69"/>
    </row>
    <row r="78" spans="1:24" ht="45" customHeight="1" x14ac:dyDescent="0.3">
      <c r="A78" s="47">
        <v>81</v>
      </c>
      <c r="C78" s="1" t="s">
        <v>246</v>
      </c>
      <c r="E78" s="99" t="s">
        <v>224</v>
      </c>
      <c r="F78" s="166">
        <v>52894</v>
      </c>
      <c r="G78" s="42" t="s">
        <v>225</v>
      </c>
      <c r="H78" s="167">
        <v>0.3</v>
      </c>
      <c r="I78" s="168">
        <f>ROUND(+F78*H78,0)</f>
        <v>15868</v>
      </c>
      <c r="J78" s="42" t="s">
        <v>227</v>
      </c>
      <c r="K78" s="168">
        <f>+F78+I78</f>
        <v>68762</v>
      </c>
      <c r="L78" s="38" t="s">
        <v>255</v>
      </c>
      <c r="M78" s="170">
        <f>(23/24)</f>
        <v>0.95833333333333337</v>
      </c>
      <c r="O78" s="85">
        <f>ROUND(+K79*M78,0)</f>
        <v>65897</v>
      </c>
      <c r="P78" s="65">
        <f>+(65375.31)/2</f>
        <v>32687.654999999999</v>
      </c>
      <c r="Q78" s="40">
        <f t="shared" ref="Q78:Q87" si="34">+O78-P78</f>
        <v>33209.345000000001</v>
      </c>
      <c r="R78" s="6">
        <f t="shared" ref="R78:R88" si="35">IF(P78=0,"NA",(+O78-P78)/P78)</f>
        <v>1.0159598478385801</v>
      </c>
      <c r="T78" s="63">
        <v>0</v>
      </c>
      <c r="U78" s="63">
        <f>19464.6+5839.4</f>
        <v>25304</v>
      </c>
      <c r="V78" s="6">
        <f t="shared" ref="V78:V88" si="36">IF(U78=0,"NA",(+T78-U78)/U78)</f>
        <v>-1</v>
      </c>
      <c r="W78" s="73" t="str">
        <f>+"For 2018 the Synod guidelines are $"&amp;LEFT(K78,2)&amp;","&amp;RIGHT(K78,3)&amp;" which includes Base $"&amp;LEFT(F78,2)&amp;","&amp;RIGHT(F78,3)&amp;" plus "&amp;H78*100&amp;"% or $"&amp;LEFT(I78,2)&amp;","&amp;RIGHT(I78,3)&amp;" for Housing Allowance.  Pastor Pahl elected $"&amp;LEFT(F79,2)&amp;","&amp;RIGHT(F79,3)&amp;" for base and $"&amp;LEFT(I79,2)&amp;","&amp;RIGHT(I79,3)&amp;" for housing still following Synod guidelines of a total of $"&amp;LEFT(K79,2)&amp;","&amp;RIGHT(K79,3)&amp;".  23 of 24 pay periods."</f>
        <v>For 2018 the Synod guidelines are $68,762 which includes Base $52,894 plus 30% or $15,868 for Housing Allowance.  Pastor Pahl elected $46,762 for base and $22,000 for housing still following Synod guidelines of a total of $68,762.  23 of 24 pay periods.</v>
      </c>
      <c r="X78" s="73" t="s">
        <v>146</v>
      </c>
    </row>
    <row r="79" spans="1:24" x14ac:dyDescent="0.3">
      <c r="A79" s="47">
        <v>82</v>
      </c>
      <c r="C79" s="1" t="s">
        <v>42</v>
      </c>
      <c r="E79" s="99" t="s">
        <v>226</v>
      </c>
      <c r="F79" s="168">
        <f>+K79-I79</f>
        <v>46762</v>
      </c>
      <c r="G79" s="42" t="s">
        <v>225</v>
      </c>
      <c r="I79" s="166">
        <v>22000</v>
      </c>
      <c r="J79" s="42" t="s">
        <v>227</v>
      </c>
      <c r="K79" s="168">
        <f>+K78</f>
        <v>68762</v>
      </c>
      <c r="N79" s="56"/>
      <c r="O79" s="65">
        <v>1500</v>
      </c>
      <c r="P79" s="65">
        <f>+(1000)</f>
        <v>1000</v>
      </c>
      <c r="Q79" s="40">
        <f t="shared" si="34"/>
        <v>500</v>
      </c>
      <c r="R79" s="6">
        <f t="shared" si="35"/>
        <v>0.5</v>
      </c>
      <c r="T79" s="63">
        <v>0</v>
      </c>
      <c r="U79" s="63">
        <v>833.35</v>
      </c>
      <c r="V79" s="6">
        <f t="shared" si="36"/>
        <v>-1</v>
      </c>
      <c r="W79" s="73" t="s">
        <v>228</v>
      </c>
      <c r="X79" s="73"/>
    </row>
    <row r="80" spans="1:24" x14ac:dyDescent="0.3">
      <c r="C80" s="1" t="s">
        <v>113</v>
      </c>
      <c r="N80" s="56"/>
      <c r="O80" s="65">
        <v>0</v>
      </c>
      <c r="P80" s="65">
        <v>0</v>
      </c>
      <c r="Q80" s="40">
        <f t="shared" si="34"/>
        <v>0</v>
      </c>
      <c r="R80" s="6" t="str">
        <f t="shared" ref="R80:R82" si="37">IF(P80=0,"NA",(+O80-P80)/P80)</f>
        <v>NA</v>
      </c>
      <c r="T80" s="63">
        <v>0</v>
      </c>
      <c r="U80" s="63">
        <v>1935.75</v>
      </c>
      <c r="V80" s="6">
        <f t="shared" ref="V80:V82" si="38">IF(U80=0,"NA",(+T80-U80)/U80)</f>
        <v>-1</v>
      </c>
      <c r="W80" s="73" t="s">
        <v>239</v>
      </c>
      <c r="X80" s="73"/>
    </row>
    <row r="81" spans="1:24" ht="48.6" customHeight="1" x14ac:dyDescent="0.3">
      <c r="C81" s="172" t="s">
        <v>240</v>
      </c>
      <c r="D81" s="172"/>
      <c r="N81" s="56"/>
      <c r="O81" s="65">
        <v>8015</v>
      </c>
      <c r="P81" s="65">
        <v>0</v>
      </c>
      <c r="Q81" s="40">
        <f t="shared" ref="Q81" si="39">+O81-P81</f>
        <v>8015</v>
      </c>
      <c r="R81" s="6" t="str">
        <f t="shared" ref="R81" si="40">IF(P81=0,"NA",(+O81-P81)/P81)</f>
        <v>NA</v>
      </c>
      <c r="T81" s="63">
        <v>0</v>
      </c>
      <c r="U81" s="63">
        <v>0</v>
      </c>
      <c r="V81" s="6" t="str">
        <f t="shared" ref="V81" si="41">IF(U81=0,"NA",(+T81-U81)/U81)</f>
        <v>NA</v>
      </c>
      <c r="W81" s="73" t="s">
        <v>241</v>
      </c>
      <c r="X81" s="73"/>
    </row>
    <row r="82" spans="1:24" ht="13.95" customHeight="1" x14ac:dyDescent="0.3">
      <c r="C82" s="1" t="s">
        <v>231</v>
      </c>
      <c r="E82" s="99" t="s">
        <v>231</v>
      </c>
      <c r="F82" s="167">
        <v>0.11</v>
      </c>
      <c r="G82" s="42" t="s">
        <v>242</v>
      </c>
      <c r="H82" s="169">
        <v>7.6499999999999999E-2</v>
      </c>
      <c r="I82" s="42">
        <f>+O78+O81</f>
        <v>73912</v>
      </c>
      <c r="J82" s="42">
        <f>+I82*H82</f>
        <v>5654.268</v>
      </c>
      <c r="N82" s="83"/>
      <c r="O82" s="85">
        <f>ROUND((+O$78+O$81+J$82)*F82,0)</f>
        <v>8752</v>
      </c>
      <c r="P82" s="65">
        <f>(+P$78*(0.1))</f>
        <v>3268.7655</v>
      </c>
      <c r="Q82" s="40">
        <f t="shared" ref="Q82" si="42">+O82-P82</f>
        <v>5483.2345000000005</v>
      </c>
      <c r="R82" s="6">
        <f t="shared" si="37"/>
        <v>1.6774634032328108</v>
      </c>
      <c r="T82" s="63">
        <v>0</v>
      </c>
      <c r="U82" s="85">
        <f>(+U$78*(0.1))</f>
        <v>2530.4</v>
      </c>
      <c r="V82" s="6">
        <f t="shared" si="38"/>
        <v>-1</v>
      </c>
      <c r="W82" s="77" t="s">
        <v>244</v>
      </c>
      <c r="X82" s="77" t="s">
        <v>165</v>
      </c>
    </row>
    <row r="83" spans="1:24" ht="14.4" customHeight="1" x14ac:dyDescent="0.3">
      <c r="C83" s="1" t="s">
        <v>233</v>
      </c>
      <c r="H83" s="128"/>
      <c r="N83" s="56"/>
      <c r="O83" s="85">
        <v>0</v>
      </c>
      <c r="P83" s="65">
        <f>(+P$78*(0.351))</f>
        <v>11473.366904999999</v>
      </c>
      <c r="Q83" s="40">
        <f t="shared" ref="Q83" si="43">+O83-P83</f>
        <v>-11473.366904999999</v>
      </c>
      <c r="R83" s="6">
        <f t="shared" ref="R83" si="44">IF(P83=0,"NA",(+O83-P83)/P83)</f>
        <v>-1</v>
      </c>
      <c r="T83" s="63">
        <v>0</v>
      </c>
      <c r="U83" s="65">
        <f>13375-U82-U84</f>
        <v>9832.44</v>
      </c>
      <c r="V83" s="6">
        <f t="shared" ref="V83" si="45">IF(U83=0,"NA",(+T83-U83)/U83)</f>
        <v>-1</v>
      </c>
      <c r="W83" s="77" t="s">
        <v>238</v>
      </c>
      <c r="X83" s="77" t="s">
        <v>165</v>
      </c>
    </row>
    <row r="84" spans="1:24" ht="14.4" customHeight="1" x14ac:dyDescent="0.3">
      <c r="A84" s="47">
        <v>83</v>
      </c>
      <c r="C84" s="1" t="s">
        <v>232</v>
      </c>
      <c r="E84" s="109" t="s">
        <v>235</v>
      </c>
      <c r="F84" s="167">
        <v>0.03</v>
      </c>
      <c r="G84" s="109" t="s">
        <v>236</v>
      </c>
      <c r="H84" s="128">
        <v>3.0000000000000001E-3</v>
      </c>
      <c r="I84" s="109" t="s">
        <v>237</v>
      </c>
      <c r="J84" s="128">
        <v>7.0000000000000001E-3</v>
      </c>
      <c r="N84" s="83"/>
      <c r="O84" s="85">
        <f>ROUND((+O$78+O$81+J$82)*(F84+H84+J84),0)+1</f>
        <v>3184</v>
      </c>
      <c r="P84" s="65">
        <f>(+P$78*(0.03+0.003+0.007))</f>
        <v>1307.5062</v>
      </c>
      <c r="Q84" s="40">
        <f t="shared" si="34"/>
        <v>1876.4938</v>
      </c>
      <c r="R84" s="6">
        <f t="shared" si="35"/>
        <v>1.4351700970901706</v>
      </c>
      <c r="T84" s="63">
        <v>0</v>
      </c>
      <c r="U84" s="85">
        <f>(+U$78*(0.03+0.003+0.007))</f>
        <v>1012.16</v>
      </c>
      <c r="V84" s="6">
        <f t="shared" si="36"/>
        <v>-1</v>
      </c>
      <c r="W84" s="77" t="s">
        <v>245</v>
      </c>
      <c r="X84" s="77" t="s">
        <v>165</v>
      </c>
    </row>
    <row r="85" spans="1:24" x14ac:dyDescent="0.3">
      <c r="A85" s="47">
        <v>84</v>
      </c>
      <c r="C85" s="1" t="s">
        <v>44</v>
      </c>
      <c r="N85" s="83"/>
      <c r="O85" s="65">
        <f>+P85*2</f>
        <v>0</v>
      </c>
      <c r="P85" s="65">
        <v>0</v>
      </c>
      <c r="Q85" s="40">
        <f t="shared" si="34"/>
        <v>0</v>
      </c>
      <c r="R85" s="6" t="str">
        <f t="shared" si="35"/>
        <v>NA</v>
      </c>
      <c r="T85" s="63">
        <v>0</v>
      </c>
      <c r="U85" s="63">
        <v>0</v>
      </c>
      <c r="V85" s="6" t="str">
        <f t="shared" si="36"/>
        <v>NA</v>
      </c>
      <c r="W85" s="73"/>
      <c r="X85" s="73"/>
    </row>
    <row r="86" spans="1:24" x14ac:dyDescent="0.3">
      <c r="C86" s="1" t="s">
        <v>115</v>
      </c>
      <c r="N86" s="83"/>
      <c r="O86" s="65">
        <v>600</v>
      </c>
      <c r="P86" s="65">
        <f>+(600)</f>
        <v>600</v>
      </c>
      <c r="Q86" s="40">
        <f t="shared" si="34"/>
        <v>0</v>
      </c>
      <c r="R86" s="6">
        <f t="shared" ref="R86" si="46">IF(P86=0,"NA",(+O86-P86)/P86)</f>
        <v>0</v>
      </c>
      <c r="T86" s="63">
        <v>0</v>
      </c>
      <c r="U86" s="63">
        <v>500</v>
      </c>
      <c r="V86" s="6">
        <f t="shared" ref="V86" si="47">IF(U86=0,"NA",(+T86-U86)/U86)</f>
        <v>-1</v>
      </c>
      <c r="W86" s="73" t="s">
        <v>230</v>
      </c>
      <c r="X86" s="73"/>
    </row>
    <row r="87" spans="1:24" ht="28.8" x14ac:dyDescent="0.3">
      <c r="A87" s="47">
        <v>85</v>
      </c>
      <c r="C87" s="1" t="s">
        <v>45</v>
      </c>
      <c r="N87" s="56"/>
      <c r="O87" s="65">
        <v>1000</v>
      </c>
      <c r="P87" s="65">
        <f>+(600)</f>
        <v>600</v>
      </c>
      <c r="Q87" s="40">
        <f t="shared" si="34"/>
        <v>400</v>
      </c>
      <c r="R87" s="6">
        <f t="shared" si="35"/>
        <v>0.66666666666666663</v>
      </c>
      <c r="T87" s="63">
        <v>0</v>
      </c>
      <c r="U87" s="63">
        <v>500</v>
      </c>
      <c r="V87" s="6">
        <f t="shared" si="36"/>
        <v>-1</v>
      </c>
      <c r="W87" s="73" t="s">
        <v>229</v>
      </c>
      <c r="X87" s="73"/>
    </row>
    <row r="88" spans="1:24" s="4" customFormat="1" x14ac:dyDescent="0.3">
      <c r="A88" s="47">
        <v>86</v>
      </c>
      <c r="B88" s="26" t="s">
        <v>176</v>
      </c>
      <c r="C88" s="26"/>
      <c r="D88" s="26"/>
      <c r="E88" s="110"/>
      <c r="F88" s="110"/>
      <c r="G88" s="110"/>
      <c r="H88" s="110"/>
      <c r="I88" s="110"/>
      <c r="J88" s="110"/>
      <c r="K88" s="110"/>
      <c r="L88" s="110"/>
      <c r="M88" s="110"/>
      <c r="N88" s="26"/>
      <c r="O88" s="26">
        <f>SUM(O78:O87)</f>
        <v>88948</v>
      </c>
      <c r="P88" s="26">
        <f>SUM(P78:P87)</f>
        <v>50937.293604999999</v>
      </c>
      <c r="Q88" s="26">
        <f>SUM(Q78:Q87)</f>
        <v>38010.706395000001</v>
      </c>
      <c r="R88" s="27">
        <f t="shared" si="35"/>
        <v>0.74622548048506598</v>
      </c>
      <c r="T88" s="26">
        <f>SUM(T78:T87)</f>
        <v>0</v>
      </c>
      <c r="U88" s="26">
        <f>SUM(U78:U87)</f>
        <v>42448.100000000006</v>
      </c>
      <c r="V88" s="27">
        <f t="shared" si="36"/>
        <v>-1</v>
      </c>
      <c r="W88" s="91"/>
      <c r="X88" s="72"/>
    </row>
    <row r="89" spans="1:24" ht="6.75" customHeight="1" x14ac:dyDescent="0.3">
      <c r="A89" s="47">
        <v>87</v>
      </c>
      <c r="R89" s="7"/>
      <c r="W89" s="89"/>
      <c r="X89" s="70"/>
    </row>
    <row r="90" spans="1:24" x14ac:dyDescent="0.3">
      <c r="A90" s="47">
        <v>88</v>
      </c>
      <c r="B90" s="4" t="s">
        <v>117</v>
      </c>
      <c r="O90" s="42"/>
      <c r="R90" s="7"/>
      <c r="W90" s="89"/>
      <c r="X90" s="70"/>
    </row>
    <row r="91" spans="1:24" x14ac:dyDescent="0.3">
      <c r="A91" s="47">
        <v>89</v>
      </c>
      <c r="C91" s="1" t="s">
        <v>46</v>
      </c>
      <c r="H91" s="108">
        <f>ROUND(+$P91*(1+$F$76),0)</f>
        <v>15300</v>
      </c>
      <c r="I91" s="108"/>
      <c r="J91" s="108"/>
      <c r="K91" s="108"/>
      <c r="L91" s="108"/>
      <c r="M91" s="108"/>
      <c r="O91" s="63">
        <v>0</v>
      </c>
      <c r="P91" s="63">
        <v>15000</v>
      </c>
      <c r="Q91" s="40">
        <f t="shared" ref="Q91:Q92" si="48">+O91-P91</f>
        <v>-15000</v>
      </c>
      <c r="R91" s="6">
        <f t="shared" ref="R91:R93" si="49">IF(P91=0,"NA",(+O91-P91)/P91)</f>
        <v>-1</v>
      </c>
      <c r="T91" s="63">
        <v>5062.5</v>
      </c>
      <c r="U91" s="63">
        <v>13750</v>
      </c>
      <c r="V91" s="6">
        <f>IF(U91=0,"NA",(+T91-U91)/U91)</f>
        <v>-0.63181818181818183</v>
      </c>
      <c r="W91" s="73"/>
      <c r="X91" s="69" t="s">
        <v>147</v>
      </c>
    </row>
    <row r="92" spans="1:24" x14ac:dyDescent="0.3">
      <c r="A92" s="47">
        <v>90</v>
      </c>
      <c r="C92" s="1" t="s">
        <v>47</v>
      </c>
      <c r="O92" s="63">
        <v>0</v>
      </c>
      <c r="P92" s="63">
        <v>0</v>
      </c>
      <c r="Q92" s="40">
        <f t="shared" si="48"/>
        <v>0</v>
      </c>
      <c r="R92" s="6" t="str">
        <f t="shared" si="49"/>
        <v>NA</v>
      </c>
      <c r="T92" s="63">
        <v>0</v>
      </c>
      <c r="U92" s="63">
        <v>0</v>
      </c>
      <c r="V92" s="6" t="str">
        <f>IF(U92=0,"NA",(+T92-U92)/U92)</f>
        <v>NA</v>
      </c>
      <c r="W92" s="89"/>
      <c r="X92" s="70"/>
    </row>
    <row r="93" spans="1:24" s="4" customFormat="1" x14ac:dyDescent="0.3">
      <c r="A93" s="47">
        <v>91</v>
      </c>
      <c r="B93" s="26" t="s">
        <v>121</v>
      </c>
      <c r="C93" s="26"/>
      <c r="D93" s="26"/>
      <c r="E93" s="110"/>
      <c r="F93" s="110"/>
      <c r="G93" s="110"/>
      <c r="H93" s="110"/>
      <c r="I93" s="110"/>
      <c r="J93" s="110"/>
      <c r="K93" s="110"/>
      <c r="L93" s="110"/>
      <c r="M93" s="110"/>
      <c r="N93" s="26"/>
      <c r="O93" s="26">
        <f>SUM(O91:O92)</f>
        <v>0</v>
      </c>
      <c r="P93" s="26">
        <f>SUM(P91:P92)</f>
        <v>15000</v>
      </c>
      <c r="Q93" s="26">
        <f>SUM(Q91:Q92)</f>
        <v>-15000</v>
      </c>
      <c r="R93" s="27">
        <f t="shared" si="49"/>
        <v>-1</v>
      </c>
      <c r="T93" s="26">
        <f>SUM(T91:T92)</f>
        <v>5062.5</v>
      </c>
      <c r="U93" s="26">
        <f>SUM(U91:U92)</f>
        <v>13750</v>
      </c>
      <c r="V93" s="27">
        <f>IF(U93=0,"NA",(+T93-U93)/U93)</f>
        <v>-0.63181818181818183</v>
      </c>
      <c r="W93" s="91"/>
      <c r="X93" s="72"/>
    </row>
    <row r="94" spans="1:24" ht="4.5" customHeight="1" x14ac:dyDescent="0.3">
      <c r="A94" s="47">
        <v>92</v>
      </c>
      <c r="R94" s="7"/>
      <c r="W94" s="89"/>
      <c r="X94" s="70"/>
    </row>
    <row r="95" spans="1:24" x14ac:dyDescent="0.3">
      <c r="A95" s="47">
        <v>88</v>
      </c>
      <c r="B95" s="4" t="s">
        <v>261</v>
      </c>
      <c r="R95" s="42"/>
      <c r="V95" s="42"/>
      <c r="W95" s="89"/>
      <c r="X95" s="70"/>
    </row>
    <row r="96" spans="1:24" ht="14.4" customHeight="1" x14ac:dyDescent="0.3">
      <c r="A96" s="47">
        <v>89</v>
      </c>
      <c r="C96" s="1" t="s">
        <v>46</v>
      </c>
      <c r="H96" s="108">
        <f>ROUND(+$P96*(1+$F$76),0)</f>
        <v>5100</v>
      </c>
      <c r="I96" s="108"/>
      <c r="J96" s="108"/>
      <c r="K96" s="108"/>
      <c r="L96" s="108"/>
      <c r="M96" s="108"/>
      <c r="O96" s="65">
        <f>200*10</f>
        <v>2000</v>
      </c>
      <c r="P96" s="65">
        <f>+(200*13)+(400*6)</f>
        <v>5000</v>
      </c>
      <c r="Q96" s="40">
        <f t="shared" ref="Q96:Q97" si="50">+O96-P96</f>
        <v>-3000</v>
      </c>
      <c r="R96" s="6">
        <f t="shared" ref="R96:R98" si="51">IF(P96=0,"NA",(+O96-P96)/P96)</f>
        <v>-0.6</v>
      </c>
      <c r="T96" s="63">
        <v>8164</v>
      </c>
      <c r="U96" s="63">
        <v>5000</v>
      </c>
      <c r="V96" s="6">
        <f>IF(U96=0,"NA",(+T96-U96)/U96)</f>
        <v>0.63280000000000003</v>
      </c>
      <c r="W96" s="73" t="s">
        <v>198</v>
      </c>
      <c r="X96" s="69" t="s">
        <v>156</v>
      </c>
    </row>
    <row r="97" spans="1:24" x14ac:dyDescent="0.3">
      <c r="A97" s="47">
        <v>90</v>
      </c>
      <c r="C97" s="1" t="s">
        <v>47</v>
      </c>
      <c r="O97" s="63">
        <v>0</v>
      </c>
      <c r="P97" s="63">
        <v>0</v>
      </c>
      <c r="Q97" s="40">
        <f t="shared" si="50"/>
        <v>0</v>
      </c>
      <c r="R97" s="6" t="str">
        <f t="shared" si="51"/>
        <v>NA</v>
      </c>
      <c r="T97" s="63">
        <v>249.15</v>
      </c>
      <c r="U97" s="63">
        <v>0</v>
      </c>
      <c r="V97" s="6" t="str">
        <f>IF(U97=0,"NA",(+T97-U97)/U97)</f>
        <v>NA</v>
      </c>
      <c r="W97" s="89"/>
      <c r="X97" s="70"/>
    </row>
    <row r="98" spans="1:24" s="4" customFormat="1" x14ac:dyDescent="0.3">
      <c r="A98" s="47">
        <v>91</v>
      </c>
      <c r="B98" s="26" t="s">
        <v>262</v>
      </c>
      <c r="C98" s="26"/>
      <c r="D98" s="26"/>
      <c r="E98" s="110"/>
      <c r="F98" s="110"/>
      <c r="G98" s="110"/>
      <c r="H98" s="110"/>
      <c r="I98" s="110"/>
      <c r="J98" s="110"/>
      <c r="K98" s="110"/>
      <c r="L98" s="110"/>
      <c r="M98" s="110"/>
      <c r="N98" s="26"/>
      <c r="O98" s="26">
        <f>SUM(O96:O97)</f>
        <v>2000</v>
      </c>
      <c r="P98" s="26">
        <f>SUM(P96:P97)</f>
        <v>5000</v>
      </c>
      <c r="Q98" s="26">
        <f>SUM(Q96:Q97)</f>
        <v>-3000</v>
      </c>
      <c r="R98" s="27">
        <f t="shared" si="51"/>
        <v>-0.6</v>
      </c>
      <c r="T98" s="26">
        <f>SUM(T96:T97)</f>
        <v>8413.15</v>
      </c>
      <c r="U98" s="26">
        <f>SUM(U96:U97)</f>
        <v>5000</v>
      </c>
      <c r="V98" s="27">
        <f>IF(U98=0,"NA",(+T98-U98)/U98)</f>
        <v>0.68262999999999996</v>
      </c>
      <c r="W98" s="91"/>
      <c r="X98" s="72"/>
    </row>
    <row r="99" spans="1:24" ht="4.5" customHeight="1" x14ac:dyDescent="0.3">
      <c r="R99" s="42"/>
      <c r="V99" s="42"/>
      <c r="W99" s="89"/>
      <c r="X99" s="70"/>
    </row>
    <row r="100" spans="1:24" x14ac:dyDescent="0.3">
      <c r="A100" s="47">
        <v>93</v>
      </c>
      <c r="B100" s="4" t="s">
        <v>212</v>
      </c>
      <c r="R100" s="7"/>
      <c r="W100" s="89"/>
      <c r="X100" s="70"/>
    </row>
    <row r="101" spans="1:24" ht="14.4" customHeight="1" x14ac:dyDescent="0.3">
      <c r="A101" s="47">
        <v>94</v>
      </c>
      <c r="C101" s="1" t="s">
        <v>46</v>
      </c>
      <c r="F101" s="111"/>
      <c r="G101" s="111"/>
      <c r="H101" s="108">
        <f>ROUND(+$P101*(1+$F$76),0)</f>
        <v>20400</v>
      </c>
      <c r="I101" s="108"/>
      <c r="J101" s="108"/>
      <c r="K101" s="108"/>
      <c r="L101" s="108"/>
      <c r="M101" s="108"/>
      <c r="O101" s="40">
        <f>ROUND(+P101*(1+F$76),0)</f>
        <v>20400</v>
      </c>
      <c r="P101" s="63">
        <v>20000</v>
      </c>
      <c r="Q101" s="40">
        <f t="shared" ref="Q101:Q102" si="52">+O101-P101</f>
        <v>400</v>
      </c>
      <c r="R101" s="6">
        <f t="shared" ref="R101:R103" si="53">IF(P101=0,"NA",(+O101-P101)/P101)</f>
        <v>0.02</v>
      </c>
      <c r="T101" s="63">
        <v>18333.259999999998</v>
      </c>
      <c r="U101" s="63">
        <v>18333.37</v>
      </c>
      <c r="V101" s="6">
        <f>IF(U101=0,"NA",(+T101-U101)/U101)</f>
        <v>-5.9999880000557498E-6</v>
      </c>
      <c r="W101" s="73" t="s">
        <v>186</v>
      </c>
      <c r="X101" s="69" t="s">
        <v>132</v>
      </c>
    </row>
    <row r="102" spans="1:24" ht="28.8" x14ac:dyDescent="0.3">
      <c r="A102" s="47">
        <v>95</v>
      </c>
      <c r="C102" s="1" t="s">
        <v>48</v>
      </c>
      <c r="E102" s="120">
        <v>2</v>
      </c>
      <c r="F102" s="129">
        <f>ROUND(+J102*(1+H102),2)</f>
        <v>10</v>
      </c>
      <c r="G102" s="120">
        <v>40</v>
      </c>
      <c r="H102" s="128">
        <v>0</v>
      </c>
      <c r="I102" s="120">
        <v>4</v>
      </c>
      <c r="J102" s="125">
        <v>10</v>
      </c>
      <c r="K102" s="120">
        <v>40</v>
      </c>
      <c r="L102" s="6">
        <f>IF(M102=0,0,(+J102-M102)/M102)</f>
        <v>0</v>
      </c>
      <c r="M102" s="126">
        <v>0</v>
      </c>
      <c r="O102" s="131">
        <f>ROUND(F102*E102*G102,0)</f>
        <v>800</v>
      </c>
      <c r="P102" s="63">
        <f>10*4*40</f>
        <v>1600</v>
      </c>
      <c r="Q102" s="40">
        <f t="shared" si="52"/>
        <v>-800</v>
      </c>
      <c r="R102" s="6">
        <f t="shared" si="53"/>
        <v>-0.5</v>
      </c>
      <c r="T102" s="63">
        <v>957.5</v>
      </c>
      <c r="U102" s="63">
        <v>1466.63</v>
      </c>
      <c r="V102" s="6">
        <f>IF(U102=0,"NA",(+T102-U102)/U102)</f>
        <v>-0.34714276947832789</v>
      </c>
      <c r="W102" s="95" t="str">
        <f>"Matt Nelson:  "&amp;Bud_Yr&amp;":  avg "&amp;E102&amp;" hrs/week at $"&amp;F102&amp;"/hr ("&amp;ROUND(H102*100,1)&amp;"% incr.) for "&amp;G102&amp;" weeks (Sept-May, excluding Lent).  "&amp;Bud_Yr-1&amp;":  avg "&amp;I102&amp;" hrs/week at $"&amp;J102&amp;"/hr ("&amp;ROUND(L102*100,1)&amp;"% incr.) for "&amp;K102&amp;" weeks.   "</f>
        <v xml:space="preserve">Matt Nelson:  2018:  avg 2 hrs/week at $10/hr (0% incr.) for 40 weeks (Sept-May, excluding Lent).  2017:  avg 4 hrs/week at $10/hr (0% incr.) for 40 weeks.   </v>
      </c>
      <c r="X102" s="1" t="s">
        <v>133</v>
      </c>
    </row>
    <row r="103" spans="1:24" s="4" customFormat="1" x14ac:dyDescent="0.3">
      <c r="A103" s="47">
        <v>96</v>
      </c>
      <c r="B103" s="26" t="s">
        <v>49</v>
      </c>
      <c r="C103" s="26"/>
      <c r="D103" s="26"/>
      <c r="E103" s="110"/>
      <c r="F103" s="110"/>
      <c r="G103" s="110"/>
      <c r="H103" s="110"/>
      <c r="I103" s="110"/>
      <c r="J103" s="110"/>
      <c r="K103" s="110"/>
      <c r="L103" s="110"/>
      <c r="M103" s="110"/>
      <c r="N103" s="26"/>
      <c r="O103" s="26">
        <f>SUM(O101:O102)</f>
        <v>21200</v>
      </c>
      <c r="P103" s="26">
        <f>SUM(P101:P102)</f>
        <v>21600</v>
      </c>
      <c r="Q103" s="26">
        <f>SUM(Q101:Q102)</f>
        <v>-400</v>
      </c>
      <c r="R103" s="27">
        <f t="shared" si="53"/>
        <v>-1.8518518518518517E-2</v>
      </c>
      <c r="T103" s="26">
        <f>SUM(T101:T102)</f>
        <v>19290.759999999998</v>
      </c>
      <c r="U103" s="26">
        <f>SUM(U101:U102)</f>
        <v>19800</v>
      </c>
      <c r="V103" s="27">
        <f>IF(U103=0,"NA",(+T103-U103)/U103)</f>
        <v>-2.5719191919191999E-2</v>
      </c>
      <c r="W103" s="91"/>
      <c r="X103" s="72"/>
    </row>
    <row r="104" spans="1:24" ht="6" customHeight="1" thickBot="1" x14ac:dyDescent="0.35">
      <c r="A104" s="47">
        <v>97</v>
      </c>
      <c r="R104" s="7"/>
      <c r="W104" s="89"/>
      <c r="X104" s="70"/>
    </row>
    <row r="105" spans="1:24" ht="15" thickBot="1" x14ac:dyDescent="0.35">
      <c r="A105" s="47">
        <v>98</v>
      </c>
      <c r="B105" s="4" t="s">
        <v>126</v>
      </c>
      <c r="E105" s="203">
        <v>2017</v>
      </c>
      <c r="F105" s="204"/>
      <c r="G105" s="204"/>
      <c r="H105" s="205"/>
      <c r="R105" s="7"/>
      <c r="W105" s="89"/>
      <c r="X105" s="70"/>
    </row>
    <row r="106" spans="1:24" ht="29.4" thickBot="1" x14ac:dyDescent="0.35">
      <c r="A106" s="47">
        <v>99</v>
      </c>
      <c r="C106" s="1" t="s">
        <v>46</v>
      </c>
      <c r="E106" s="137">
        <f>86349</f>
        <v>86349</v>
      </c>
      <c r="F106" s="138" t="s">
        <v>213</v>
      </c>
      <c r="G106" s="139">
        <v>38239</v>
      </c>
      <c r="H106" s="140" t="s">
        <v>126</v>
      </c>
      <c r="I106" s="206" t="str">
        <f>"2017 = 1/2 Lead and 1/2 Deacon
2018 75% Deacon plus increase 2.0%, "&amp;F76*100&amp;"% Lead"</f>
        <v>2017 = 1/2 Lead and 1/2 Deacon
2018 75% Deacon plus increase 2.0%, 2% Lead</v>
      </c>
      <c r="J106" s="207"/>
      <c r="K106" s="207"/>
      <c r="L106" s="207"/>
      <c r="M106" s="207"/>
      <c r="N106" s="207"/>
      <c r="O106" s="85">
        <f>+ROUND((($E106*(1-M$78))+(($G106*M$78))*(1+F$76)),0)</f>
        <v>40976</v>
      </c>
      <c r="P106" s="85">
        <f>+(E106/2)+(G106/2)</f>
        <v>62294</v>
      </c>
      <c r="Q106" s="40">
        <f t="shared" ref="Q106:Q112" si="54">+O106-P106</f>
        <v>-21318</v>
      </c>
      <c r="R106" s="6">
        <f t="shared" ref="R106:R113" si="55">IF(P106=0,"NA",(+O106-P106)/P106)</f>
        <v>-0.34221594375060199</v>
      </c>
      <c r="T106" s="63">
        <v>79153.36</v>
      </c>
      <c r="U106" s="63">
        <v>59107.4</v>
      </c>
      <c r="V106" s="6">
        <f t="shared" ref="V106:V113" si="56">IF(U106=0,"NA",(+T106-U106)/U106)</f>
        <v>0.33914467562437189</v>
      </c>
      <c r="W106" s="73"/>
      <c r="X106" s="69" t="s">
        <v>157</v>
      </c>
    </row>
    <row r="107" spans="1:24" ht="28.8" x14ac:dyDescent="0.3">
      <c r="A107" s="47">
        <v>100</v>
      </c>
      <c r="C107" s="1" t="s">
        <v>43</v>
      </c>
      <c r="F107" s="167">
        <v>0.11</v>
      </c>
      <c r="G107" s="42">
        <v>2017</v>
      </c>
      <c r="H107" s="167">
        <v>0.12</v>
      </c>
      <c r="I107" s="42">
        <v>2018</v>
      </c>
      <c r="O107" s="85">
        <f>ROUND((+O106*H107)+(O106*(F84+H84+J84)),0)</f>
        <v>6556</v>
      </c>
      <c r="P107" s="85">
        <f>+P106*F107</f>
        <v>6852.34</v>
      </c>
      <c r="Q107" s="40">
        <f t="shared" si="54"/>
        <v>-296.34000000000015</v>
      </c>
      <c r="R107" s="6">
        <f t="shared" si="55"/>
        <v>-4.3246540597810405E-2</v>
      </c>
      <c r="T107" s="63">
        <v>11872.96</v>
      </c>
      <c r="U107" s="63">
        <v>6645.18</v>
      </c>
      <c r="V107" s="6">
        <f t="shared" si="56"/>
        <v>0.78670254229381276</v>
      </c>
      <c r="W107" s="77" t="s">
        <v>254</v>
      </c>
      <c r="X107" s="77"/>
    </row>
    <row r="108" spans="1:24" x14ac:dyDescent="0.3">
      <c r="A108" s="47">
        <v>101</v>
      </c>
      <c r="C108" s="1" t="s">
        <v>45</v>
      </c>
      <c r="O108" s="63">
        <v>750</v>
      </c>
      <c r="P108" s="63">
        <v>750</v>
      </c>
      <c r="Q108" s="40">
        <f t="shared" si="54"/>
        <v>0</v>
      </c>
      <c r="R108" s="6">
        <f t="shared" si="55"/>
        <v>0</v>
      </c>
      <c r="T108" s="63">
        <v>206.96</v>
      </c>
      <c r="U108" s="63">
        <v>687.5</v>
      </c>
      <c r="V108" s="6">
        <f t="shared" si="56"/>
        <v>-0.69896727272727266</v>
      </c>
      <c r="W108" s="73"/>
      <c r="X108" s="69"/>
    </row>
    <row r="109" spans="1:24" ht="14.4" customHeight="1" x14ac:dyDescent="0.3">
      <c r="A109" s="47">
        <v>102</v>
      </c>
      <c r="C109" s="1" t="s">
        <v>44</v>
      </c>
      <c r="O109" s="65">
        <v>3300</v>
      </c>
      <c r="P109" s="65">
        <f>+(3298/2)</f>
        <v>1649</v>
      </c>
      <c r="Q109" s="40">
        <f t="shared" si="54"/>
        <v>1651</v>
      </c>
      <c r="R109" s="6">
        <f t="shared" si="55"/>
        <v>1.0012128562765312</v>
      </c>
      <c r="T109" s="63">
        <v>0</v>
      </c>
      <c r="U109" s="63">
        <v>1374.15</v>
      </c>
      <c r="V109" s="6">
        <f t="shared" si="56"/>
        <v>-1</v>
      </c>
      <c r="W109" s="73" t="s">
        <v>222</v>
      </c>
      <c r="X109" s="73" t="s">
        <v>148</v>
      </c>
    </row>
    <row r="110" spans="1:24" x14ac:dyDescent="0.3">
      <c r="A110" s="47">
        <v>103</v>
      </c>
      <c r="C110" s="1" t="s">
        <v>47</v>
      </c>
      <c r="O110" s="63">
        <v>1500</v>
      </c>
      <c r="P110" s="63">
        <v>2000</v>
      </c>
      <c r="Q110" s="40">
        <f t="shared" si="54"/>
        <v>-500</v>
      </c>
      <c r="R110" s="6">
        <f t="shared" si="55"/>
        <v>-0.25</v>
      </c>
      <c r="T110" s="63">
        <v>1035.74</v>
      </c>
      <c r="U110" s="63">
        <v>1833.37</v>
      </c>
      <c r="V110" s="6">
        <f t="shared" si="56"/>
        <v>-0.43506220784675209</v>
      </c>
      <c r="W110" s="73" t="s">
        <v>221</v>
      </c>
      <c r="X110" s="69"/>
    </row>
    <row r="111" spans="1:24" x14ac:dyDescent="0.3">
      <c r="C111" s="1" t="s">
        <v>115</v>
      </c>
      <c r="O111" s="63">
        <v>350</v>
      </c>
      <c r="P111" s="63">
        <f>+(300)+(200)</f>
        <v>500</v>
      </c>
      <c r="Q111" s="40">
        <f t="shared" ref="Q111" si="57">+O111-P111</f>
        <v>-150</v>
      </c>
      <c r="R111" s="6">
        <f t="shared" ref="R111" si="58">IF(P111=0,"NA",(+O111-P111)/P111)</f>
        <v>-0.3</v>
      </c>
      <c r="T111" s="63">
        <v>180.13</v>
      </c>
      <c r="U111" s="63">
        <v>466.65</v>
      </c>
      <c r="V111" s="6">
        <f t="shared" ref="V111" si="59">IF(U111=0,"NA",(+T111-U111)/U111)</f>
        <v>-0.61399335690560375</v>
      </c>
      <c r="W111" s="73" t="s">
        <v>221</v>
      </c>
      <c r="X111" s="69"/>
    </row>
    <row r="112" spans="1:24" x14ac:dyDescent="0.3">
      <c r="A112" s="47">
        <v>104</v>
      </c>
      <c r="C112" s="1" t="s">
        <v>50</v>
      </c>
      <c r="O112" s="63">
        <v>0</v>
      </c>
      <c r="P112" s="63">
        <v>0</v>
      </c>
      <c r="Q112" s="40">
        <f t="shared" si="54"/>
        <v>0</v>
      </c>
      <c r="R112" s="6" t="str">
        <f t="shared" si="55"/>
        <v>NA</v>
      </c>
      <c r="T112" s="63">
        <v>0</v>
      </c>
      <c r="U112" s="63">
        <v>0</v>
      </c>
      <c r="V112" s="6" t="str">
        <f t="shared" si="56"/>
        <v>NA</v>
      </c>
      <c r="W112" s="93"/>
      <c r="X112" s="81" t="s">
        <v>149</v>
      </c>
    </row>
    <row r="113" spans="1:26" s="4" customFormat="1" x14ac:dyDescent="0.3">
      <c r="A113" s="47">
        <v>105</v>
      </c>
      <c r="B113" s="26" t="s">
        <v>174</v>
      </c>
      <c r="C113" s="26"/>
      <c r="D113" s="26"/>
      <c r="E113" s="110"/>
      <c r="F113" s="110"/>
      <c r="G113" s="110"/>
      <c r="H113" s="110"/>
      <c r="I113" s="110"/>
      <c r="J113" s="110"/>
      <c r="K113" s="110"/>
      <c r="L113" s="110"/>
      <c r="M113" s="110"/>
      <c r="N113" s="26"/>
      <c r="O113" s="26">
        <f>SUM(O106:O112)</f>
        <v>53432</v>
      </c>
      <c r="P113" s="26">
        <f>SUM(P106:P112)</f>
        <v>74045.34</v>
      </c>
      <c r="Q113" s="26">
        <f>SUM(Q106:Q112)</f>
        <v>-20613.34</v>
      </c>
      <c r="R113" s="27">
        <f t="shared" si="55"/>
        <v>-0.27838807951992656</v>
      </c>
      <c r="T113" s="26">
        <f>SUM(T106:T112)</f>
        <v>92449.150000000023</v>
      </c>
      <c r="U113" s="26">
        <f>SUM(U106:U112)</f>
        <v>70114.249999999985</v>
      </c>
      <c r="V113" s="27">
        <f t="shared" si="56"/>
        <v>0.31855008076104419</v>
      </c>
      <c r="W113" s="91"/>
      <c r="X113" s="72"/>
    </row>
    <row r="114" spans="1:26" ht="6" customHeight="1" x14ac:dyDescent="0.3">
      <c r="A114" s="47">
        <v>106</v>
      </c>
      <c r="R114" s="7"/>
      <c r="W114" s="89"/>
      <c r="X114" s="70"/>
    </row>
    <row r="115" spans="1:26" x14ac:dyDescent="0.3">
      <c r="A115" s="47">
        <v>107</v>
      </c>
      <c r="B115" s="4" t="s">
        <v>51</v>
      </c>
      <c r="R115" s="7"/>
      <c r="W115" s="89"/>
      <c r="X115" s="70"/>
    </row>
    <row r="116" spans="1:26" x14ac:dyDescent="0.3">
      <c r="A116" s="47">
        <v>108</v>
      </c>
      <c r="C116" s="1" t="s">
        <v>118</v>
      </c>
      <c r="N116" s="56"/>
      <c r="O116" s="40">
        <f>ROUND(+P116*(1+$F$77),0)</f>
        <v>15606</v>
      </c>
      <c r="P116" s="63">
        <v>15300</v>
      </c>
      <c r="Q116" s="40">
        <f t="shared" ref="Q116:Q123" si="60">+O116-P116</f>
        <v>306</v>
      </c>
      <c r="R116" s="6">
        <f t="shared" ref="R116:R124" si="61">IF(P116=0,"NA",(+O116-P116)/P116)</f>
        <v>0.02</v>
      </c>
      <c r="T116" s="63">
        <v>14025</v>
      </c>
      <c r="U116" s="63">
        <v>14025</v>
      </c>
      <c r="V116" s="6">
        <f t="shared" ref="V116:V124" si="62">IF(U116=0,"NA",(+T116-U116)/U116)</f>
        <v>0</v>
      </c>
      <c r="W116" s="73" t="s">
        <v>187</v>
      </c>
      <c r="X116" s="69" t="s">
        <v>167</v>
      </c>
    </row>
    <row r="117" spans="1:26" x14ac:dyDescent="0.3">
      <c r="A117" s="47">
        <v>109</v>
      </c>
      <c r="C117" s="1" t="s">
        <v>52</v>
      </c>
      <c r="N117" s="56"/>
      <c r="O117" s="63">
        <v>500</v>
      </c>
      <c r="P117" s="63">
        <v>500</v>
      </c>
      <c r="Q117" s="40">
        <f t="shared" si="60"/>
        <v>0</v>
      </c>
      <c r="R117" s="6">
        <f t="shared" si="61"/>
        <v>0</v>
      </c>
      <c r="T117" s="63">
        <v>200</v>
      </c>
      <c r="U117" s="63">
        <v>458.37</v>
      </c>
      <c r="V117" s="6">
        <f t="shared" si="62"/>
        <v>-0.5636712699347689</v>
      </c>
      <c r="W117" s="73"/>
      <c r="X117" s="69" t="s">
        <v>170</v>
      </c>
    </row>
    <row r="118" spans="1:26" ht="14.4" customHeight="1" x14ac:dyDescent="0.3">
      <c r="A118" s="47">
        <v>110</v>
      </c>
      <c r="C118" s="1" t="s">
        <v>53</v>
      </c>
      <c r="N118" s="56"/>
      <c r="O118" s="96">
        <f>ROUND(+P118*(1+F$77),0)*0.75</f>
        <v>15318</v>
      </c>
      <c r="P118" s="63">
        <v>20024</v>
      </c>
      <c r="Q118" s="40">
        <f t="shared" si="60"/>
        <v>-4706</v>
      </c>
      <c r="R118" s="6">
        <f t="shared" si="61"/>
        <v>-0.23501797842588892</v>
      </c>
      <c r="T118" s="63">
        <v>16980.259999999998</v>
      </c>
      <c r="U118" s="63">
        <v>18355.37</v>
      </c>
      <c r="V118" s="6">
        <f t="shared" si="62"/>
        <v>-7.491595102686574E-2</v>
      </c>
      <c r="W118" s="73" t="str">
        <f>"2018:  Increase for Music of "&amp;F77*100&amp;"% at 75% of year for not playing in the summer"</f>
        <v>2018:  Increase for Music of 2% at 75% of year for not playing in the summer</v>
      </c>
      <c r="X118" s="69" t="s">
        <v>169</v>
      </c>
    </row>
    <row r="119" spans="1:26" ht="28.8" x14ac:dyDescent="0.3">
      <c r="A119" s="47">
        <v>110</v>
      </c>
      <c r="C119" s="1" t="s">
        <v>183</v>
      </c>
      <c r="N119" s="56"/>
      <c r="O119" s="96">
        <f>ROUND(+P118*(1+F$77),0)*0.25</f>
        <v>5106</v>
      </c>
      <c r="P119" s="63">
        <v>0</v>
      </c>
      <c r="Q119" s="40">
        <f t="shared" ref="Q119" si="63">+O119-P119</f>
        <v>5106</v>
      </c>
      <c r="R119" s="6" t="str">
        <f t="shared" ref="R119" si="64">IF(P119=0,"NA",(+O119-P119)/P119)</f>
        <v>NA</v>
      </c>
      <c r="T119" s="136">
        <v>1975</v>
      </c>
      <c r="U119" s="63">
        <v>0</v>
      </c>
      <c r="V119" s="6" t="str">
        <f t="shared" ref="V119" si="65">IF(U119=0,"NA",(+T119-U119)/U119)</f>
        <v>NA</v>
      </c>
      <c r="W119" s="73" t="s">
        <v>253</v>
      </c>
      <c r="X119" s="69" t="s">
        <v>169</v>
      </c>
    </row>
    <row r="120" spans="1:26" x14ac:dyDescent="0.3">
      <c r="A120" s="47">
        <v>111</v>
      </c>
      <c r="C120" s="1" t="s">
        <v>54</v>
      </c>
      <c r="N120" s="56"/>
      <c r="O120" s="40">
        <f>ROUND(+P120*(1+$F$77),0)</f>
        <v>7337</v>
      </c>
      <c r="P120" s="63">
        <v>7193</v>
      </c>
      <c r="Q120" s="40">
        <f t="shared" si="60"/>
        <v>144</v>
      </c>
      <c r="R120" s="6">
        <f t="shared" si="61"/>
        <v>2.001946336716252E-2</v>
      </c>
      <c r="T120" s="63">
        <v>6471.35</v>
      </c>
      <c r="U120" s="63">
        <v>6473.7</v>
      </c>
      <c r="V120" s="6">
        <f t="shared" si="62"/>
        <v>-3.6300724469769287E-4</v>
      </c>
      <c r="W120" s="73" t="s">
        <v>188</v>
      </c>
      <c r="X120" s="69" t="s">
        <v>168</v>
      </c>
    </row>
    <row r="121" spans="1:26" x14ac:dyDescent="0.3">
      <c r="A121" s="47">
        <v>112</v>
      </c>
      <c r="C121" s="1" t="s">
        <v>55</v>
      </c>
      <c r="H121" s="108">
        <f>ROUND(+$P121*(1+$F$77),0)</f>
        <v>1785</v>
      </c>
      <c r="I121" s="108"/>
      <c r="J121" s="108"/>
      <c r="K121" s="108"/>
      <c r="L121" s="108"/>
      <c r="M121" s="108"/>
      <c r="O121" s="65">
        <v>1750</v>
      </c>
      <c r="P121" s="63">
        <v>1750</v>
      </c>
      <c r="Q121" s="40">
        <f t="shared" si="60"/>
        <v>0</v>
      </c>
      <c r="R121" s="6">
        <f t="shared" si="61"/>
        <v>0</v>
      </c>
      <c r="T121" s="63">
        <v>1604.13</v>
      </c>
      <c r="U121" s="63">
        <v>1604.13</v>
      </c>
      <c r="V121" s="6">
        <f t="shared" si="62"/>
        <v>0</v>
      </c>
      <c r="W121" s="73" t="s">
        <v>189</v>
      </c>
      <c r="X121" s="69" t="s">
        <v>170</v>
      </c>
    </row>
    <row r="122" spans="1:26" x14ac:dyDescent="0.3">
      <c r="C122" s="1" t="s">
        <v>114</v>
      </c>
      <c r="O122" s="65">
        <v>1200</v>
      </c>
      <c r="P122" s="63">
        <v>1200</v>
      </c>
      <c r="Q122" s="40">
        <f t="shared" si="60"/>
        <v>0</v>
      </c>
      <c r="R122" s="6">
        <f t="shared" ref="R122" si="66">IF(P122=0,"NA",(+O122-P122)/P122)</f>
        <v>0</v>
      </c>
      <c r="T122" s="65">
        <v>1100</v>
      </c>
      <c r="U122" s="63">
        <v>1100</v>
      </c>
      <c r="V122" s="6">
        <f t="shared" ref="V122" si="67">IF(U122=0,"NA",(+T122-U122)/U122)</f>
        <v>0</v>
      </c>
      <c r="W122" s="73" t="s">
        <v>190</v>
      </c>
      <c r="X122" s="84" t="s">
        <v>166</v>
      </c>
    </row>
    <row r="123" spans="1:26" x14ac:dyDescent="0.3">
      <c r="A123" s="47">
        <v>113</v>
      </c>
      <c r="C123" s="1" t="s">
        <v>119</v>
      </c>
      <c r="O123" s="40">
        <f>ROUND(+P123*(1+$F$77),0)</f>
        <v>2705</v>
      </c>
      <c r="P123" s="63">
        <v>2652</v>
      </c>
      <c r="Q123" s="40">
        <f t="shared" si="60"/>
        <v>53</v>
      </c>
      <c r="R123" s="6">
        <f t="shared" si="61"/>
        <v>1.9984917043740572E-2</v>
      </c>
      <c r="T123" s="136">
        <f>4681-1975</f>
        <v>2706</v>
      </c>
      <c r="U123" s="63">
        <v>2431</v>
      </c>
      <c r="V123" s="6">
        <f t="shared" si="62"/>
        <v>0.11312217194570136</v>
      </c>
      <c r="W123" s="73" t="s">
        <v>252</v>
      </c>
      <c r="X123" s="69" t="s">
        <v>170</v>
      </c>
    </row>
    <row r="124" spans="1:26" s="4" customFormat="1" x14ac:dyDescent="0.3">
      <c r="A124" s="47">
        <v>114</v>
      </c>
      <c r="B124" s="26" t="s">
        <v>56</v>
      </c>
      <c r="C124" s="26"/>
      <c r="D124" s="26"/>
      <c r="E124" s="110"/>
      <c r="F124" s="110"/>
      <c r="G124" s="110"/>
      <c r="H124" s="110"/>
      <c r="I124" s="110"/>
      <c r="J124" s="110"/>
      <c r="K124" s="110"/>
      <c r="L124" s="110"/>
      <c r="M124" s="110"/>
      <c r="N124" s="26"/>
      <c r="O124" s="26">
        <f>SUM(O116:O123)</f>
        <v>49522</v>
      </c>
      <c r="P124" s="26">
        <f>SUM(P116:P123)</f>
        <v>48619</v>
      </c>
      <c r="Q124" s="26">
        <f>SUM(Q116:Q123)</f>
        <v>903</v>
      </c>
      <c r="R124" s="27">
        <f t="shared" si="61"/>
        <v>1.8572985869721715E-2</v>
      </c>
      <c r="T124" s="26">
        <f>SUM(T116:T123)</f>
        <v>45061.739999999991</v>
      </c>
      <c r="U124" s="26">
        <f>SUM(U116:U123)</f>
        <v>44447.569999999992</v>
      </c>
      <c r="V124" s="27">
        <f t="shared" si="62"/>
        <v>1.3817853259469491E-2</v>
      </c>
      <c r="W124" s="91"/>
      <c r="X124" s="72"/>
    </row>
    <row r="125" spans="1:26" ht="6.75" customHeight="1" x14ac:dyDescent="0.3">
      <c r="A125" s="47">
        <v>115</v>
      </c>
      <c r="R125" s="7"/>
      <c r="W125" s="89"/>
      <c r="X125" s="70"/>
    </row>
    <row r="126" spans="1:26" ht="14.25" customHeight="1" x14ac:dyDescent="0.3">
      <c r="A126" s="47">
        <v>116</v>
      </c>
      <c r="B126" s="4" t="s">
        <v>57</v>
      </c>
      <c r="N126" s="28"/>
      <c r="O126" s="28"/>
      <c r="P126" s="28"/>
      <c r="Q126" s="28"/>
      <c r="R126" s="7"/>
      <c r="W126" s="89"/>
      <c r="X126" s="70"/>
      <c r="Y126" s="42"/>
    </row>
    <row r="127" spans="1:26" ht="27.6" customHeight="1" x14ac:dyDescent="0.3">
      <c r="A127" s="47">
        <v>117</v>
      </c>
      <c r="C127" s="1" t="s">
        <v>102</v>
      </c>
      <c r="E127" s="120">
        <v>17</v>
      </c>
      <c r="F127" s="129">
        <f>ROUND(+J127*(1+H127),2)</f>
        <v>15.08</v>
      </c>
      <c r="G127" s="120">
        <v>52</v>
      </c>
      <c r="H127" s="127">
        <f>+$F$76</f>
        <v>0.02</v>
      </c>
      <c r="I127" s="120">
        <v>19</v>
      </c>
      <c r="J127" s="125">
        <v>14.78</v>
      </c>
      <c r="K127" s="120">
        <v>52</v>
      </c>
      <c r="L127" s="6">
        <f>IF(M127=0,0,(+J127-M127)/M127)</f>
        <v>2.4965325936199684E-2</v>
      </c>
      <c r="M127" s="126">
        <v>14.42</v>
      </c>
      <c r="N127" s="56"/>
      <c r="O127" s="131">
        <f>ROUND(E127*F127*G127,0)</f>
        <v>13331</v>
      </c>
      <c r="P127" s="85">
        <f>ROUND(19*52*(14.42*1.02),0)</f>
        <v>14532</v>
      </c>
      <c r="Q127" s="40">
        <f t="shared" ref="Q127:Q138" si="68">+O127-P127</f>
        <v>-1201</v>
      </c>
      <c r="R127" s="6">
        <f t="shared" ref="R127:R140" si="69">IF(P127=0,"NA",(+O127-P127)/P127)</f>
        <v>-8.2645196807046517E-2</v>
      </c>
      <c r="T127" s="63">
        <v>11696.48</v>
      </c>
      <c r="U127" s="63">
        <v>13415.52</v>
      </c>
      <c r="V127" s="6">
        <v>46.81</v>
      </c>
      <c r="W127" s="73" t="str">
        <f>"Kim Saunders:  "&amp;Bud_Yr&amp;":  avg "&amp;E127&amp;" hrs/week at $"&amp;F127&amp;"/hr ("&amp;ROUND(H127*100,1)&amp;"% incr.) for "&amp;G127&amp;" weeks.                       "&amp;Bud_Yr-1&amp;":  avg "&amp;I127&amp;" hrs/week at $"&amp;J127&amp;"/hr ("&amp;ROUND(L127*100,1)&amp;"% incr.) for "&amp;K127&amp;" weeks.   "&amp;Bud_Yr-2&amp;":  $"&amp;M127&amp;"/hr."</f>
        <v>Kim Saunders:  2018:  avg 17 hrs/week at $15.08/hr (2% incr.) for 52 weeks.                       2017:  avg 19 hrs/week at $14.78/hr (2.5% incr.) for 52 weeks.   2016:  $14.42/hr.</v>
      </c>
      <c r="X127" s="80" t="s">
        <v>158</v>
      </c>
      <c r="Y127" s="55"/>
    </row>
    <row r="128" spans="1:26" ht="29.4" customHeight="1" x14ac:dyDescent="0.3">
      <c r="A128" s="47">
        <v>118</v>
      </c>
      <c r="C128" s="1" t="s">
        <v>59</v>
      </c>
      <c r="E128" s="120">
        <v>25</v>
      </c>
      <c r="F128" s="129">
        <f>ROUND(+J128*(1+H128),2)</f>
        <v>13.11</v>
      </c>
      <c r="G128" s="120">
        <v>52</v>
      </c>
      <c r="H128" s="127">
        <f>+$F$76</f>
        <v>0.02</v>
      </c>
      <c r="I128" s="120">
        <v>15</v>
      </c>
      <c r="J128" s="125">
        <v>12.85</v>
      </c>
      <c r="K128" s="120">
        <v>52</v>
      </c>
      <c r="L128" s="6">
        <f>IF(M128=0,0,(+J128-M128)/M128)</f>
        <v>0</v>
      </c>
      <c r="M128" s="126"/>
      <c r="N128" s="56"/>
      <c r="O128" s="131">
        <f>ROUND((E128*F128*G128)+(E129*F129*G129)+(E130*F130*G130),0)</f>
        <v>33288</v>
      </c>
      <c r="P128" s="85">
        <f>+ROUND((12.85*15*52)+(11.25*7.5*52)+(10.9*17*52),0)</f>
        <v>24046</v>
      </c>
      <c r="Q128" s="40">
        <f t="shared" si="68"/>
        <v>9242</v>
      </c>
      <c r="R128" s="6">
        <f t="shared" si="69"/>
        <v>0.38434666888463775</v>
      </c>
      <c r="T128" s="96">
        <v>30550.42</v>
      </c>
      <c r="U128" s="63">
        <v>22196.639999999999</v>
      </c>
      <c r="V128" s="6">
        <f t="shared" ref="V128:V140" si="70">IF(U128=0,"NA",(+T128-U128)/U128)</f>
        <v>0.37635335798571312</v>
      </c>
      <c r="W128" s="73" t="str">
        <f>"Mark Henkel:  "&amp;Bud_Yr&amp;":  avg "&amp;E128&amp;" hrs/week at $"&amp;F128&amp;"/hr ("&amp;ROUND(H128*100,1)&amp;"% incr.) for "&amp;G128&amp;" weeks.                       "&amp;Bud_Yr-1&amp;":  avg "&amp;I128&amp;" hrs/week at $"&amp;J128&amp;"/hr ("&amp;ROUND(L128*100,1)&amp;"% incr.) for "&amp;K128&amp;" weeks.   "</f>
        <v xml:space="preserve">Mark Henkel:  2018:  avg 25 hrs/week at $13.11/hr (2% incr.) for 52 weeks.                       2017:  avg 15 hrs/week at $12.85/hr (0% incr.) for 52 weeks.   </v>
      </c>
      <c r="X128" s="69" t="s">
        <v>136</v>
      </c>
      <c r="Z128" s="97"/>
    </row>
    <row r="129" spans="1:26" ht="28.8" x14ac:dyDescent="0.3">
      <c r="E129" s="120">
        <v>20</v>
      </c>
      <c r="F129" s="129">
        <f>ROUND(+J129*(1+H129),2)</f>
        <v>11.12</v>
      </c>
      <c r="G129" s="120">
        <v>52</v>
      </c>
      <c r="H129" s="127">
        <f>+$F$76</f>
        <v>0.02</v>
      </c>
      <c r="I129" s="120">
        <v>17</v>
      </c>
      <c r="J129" s="125">
        <v>10.9</v>
      </c>
      <c r="K129" s="120">
        <v>52</v>
      </c>
      <c r="L129" s="6">
        <f>IF(M129=0,0,(+J129-M129)/M129)</f>
        <v>1.8691588785046828E-2</v>
      </c>
      <c r="M129" s="126">
        <v>10.7</v>
      </c>
      <c r="N129" s="56"/>
      <c r="O129" s="85"/>
      <c r="P129" s="85"/>
      <c r="Q129" s="40"/>
      <c r="R129" s="6"/>
      <c r="T129" s="96"/>
      <c r="U129" s="63"/>
      <c r="V129" s="6"/>
      <c r="W129" s="73" t="str">
        <f>"Rebecca Arreola:  "&amp;Bud_Yr&amp;":  avg "&amp;E129&amp;" hrs/week at $"&amp;F129&amp;"/hr ("&amp;ROUND(H129*100,1)&amp;"% incr.) for "&amp;G129&amp;" weeks.                       "&amp;Bud_Yr-1&amp;":  avg "&amp;I129&amp;" hrs/week at $"&amp;J129&amp;"/hr ("&amp;ROUND(L129*100,1)&amp;"% incr.) for "&amp;K129&amp;" weeks.   "&amp;Bud_Yr-2&amp;":  $"&amp;M129&amp;"/hour."</f>
        <v>Rebecca Arreola:  2018:  avg 20 hrs/week at $11.12/hr (2% incr.) for 52 weeks.                       2017:  avg 17 hrs/week at $10.9/hr (1.9% incr.) for 52 weeks.   2016:  $10.7/hour.</v>
      </c>
      <c r="X129" s="69"/>
      <c r="Y129" s="28"/>
      <c r="Z129" s="97"/>
    </row>
    <row r="130" spans="1:26" ht="28.8" x14ac:dyDescent="0.3">
      <c r="E130" s="120">
        <v>8</v>
      </c>
      <c r="F130" s="129">
        <f>ROUND(+J130*(1+H130),2)</f>
        <v>11.25</v>
      </c>
      <c r="G130" s="120">
        <v>52</v>
      </c>
      <c r="H130" s="128">
        <v>0</v>
      </c>
      <c r="I130" s="132">
        <v>7.5</v>
      </c>
      <c r="J130" s="125">
        <v>11.25</v>
      </c>
      <c r="K130" s="120">
        <v>52</v>
      </c>
      <c r="L130" s="6">
        <f>IF(M130=0,0,(+J130-M130)/M130)</f>
        <v>0.44787644787644798</v>
      </c>
      <c r="M130" s="126">
        <v>7.77</v>
      </c>
      <c r="N130" s="56"/>
      <c r="O130" s="85"/>
      <c r="P130" s="85"/>
      <c r="Q130" s="40"/>
      <c r="R130" s="6"/>
      <c r="T130" s="96"/>
      <c r="U130" s="63"/>
      <c r="V130" s="6"/>
      <c r="W130" s="73" t="str">
        <f>"Del Alton:  "&amp;Bud_Yr&amp;":  avg "&amp;E130&amp;" hrs/week at $"&amp;F130&amp;"/hr ("&amp;ROUND(H130*100,1)&amp;"% incr.) for "&amp;G130&amp;" weeks.                              "&amp;Bud_Yr-1&amp;":  avg "&amp;I130&amp;" hrs/week at $"&amp;J130&amp;"/hr ("&amp;ROUND(L130*100,1)&amp;"% incr.) for "&amp;K130&amp;" weeks.   "&amp;Bud_Yr-2&amp;":  $"&amp;M130&amp;"/hour."</f>
        <v>Del Alton:  2018:  avg 8 hrs/week at $11.25/hr (0% incr.) for 52 weeks.                              2017:  avg 7.5 hrs/week at $11.25/hr (44.8% incr.) for 52 weeks.   2016:  $7.77/hour.</v>
      </c>
      <c r="X130" s="69"/>
      <c r="Y130" s="28"/>
      <c r="Z130" s="97"/>
    </row>
    <row r="131" spans="1:26" x14ac:dyDescent="0.3">
      <c r="A131" s="47">
        <v>119</v>
      </c>
      <c r="C131" s="1" t="s">
        <v>60</v>
      </c>
      <c r="O131" s="65">
        <v>400</v>
      </c>
      <c r="P131" s="63">
        <v>400</v>
      </c>
      <c r="Q131" s="40">
        <f t="shared" si="68"/>
        <v>0</v>
      </c>
      <c r="R131" s="6">
        <f t="shared" si="69"/>
        <v>0</v>
      </c>
      <c r="T131" s="63">
        <v>253.51</v>
      </c>
      <c r="U131" s="63">
        <v>366.63</v>
      </c>
      <c r="V131" s="6">
        <f t="shared" si="70"/>
        <v>-0.30853994490358128</v>
      </c>
      <c r="W131" s="73"/>
      <c r="X131" s="73"/>
      <c r="Z131" s="97"/>
    </row>
    <row r="132" spans="1:26" x14ac:dyDescent="0.3">
      <c r="A132" s="47">
        <v>120</v>
      </c>
      <c r="C132" s="1" t="s">
        <v>105</v>
      </c>
      <c r="O132" s="65">
        <f>700</f>
        <v>700</v>
      </c>
      <c r="P132" s="63">
        <v>700</v>
      </c>
      <c r="Q132" s="40">
        <f t="shared" si="68"/>
        <v>0</v>
      </c>
      <c r="R132" s="6">
        <f t="shared" si="69"/>
        <v>0</v>
      </c>
      <c r="T132" s="63">
        <v>0</v>
      </c>
      <c r="U132" s="63">
        <v>641.63</v>
      </c>
      <c r="V132" s="6">
        <f t="shared" si="70"/>
        <v>-1</v>
      </c>
      <c r="W132" s="73"/>
      <c r="X132" s="73"/>
      <c r="Z132" s="97"/>
    </row>
    <row r="133" spans="1:26" ht="13.95" customHeight="1" x14ac:dyDescent="0.3">
      <c r="C133" s="1" t="s">
        <v>127</v>
      </c>
      <c r="H133" s="112"/>
      <c r="I133" s="112"/>
      <c r="J133" s="112"/>
      <c r="K133" s="112"/>
      <c r="L133" s="112"/>
      <c r="M133" s="112"/>
      <c r="N133" s="82"/>
      <c r="O133" s="65">
        <v>1000</v>
      </c>
      <c r="P133" s="63">
        <v>1200</v>
      </c>
      <c r="Q133" s="40">
        <f t="shared" si="68"/>
        <v>-200</v>
      </c>
      <c r="R133" s="6">
        <f t="shared" ref="R133" si="71">IF(P133=0,"NA",(+O133-P133)/P133)</f>
        <v>-0.16666666666666666</v>
      </c>
      <c r="T133" s="63">
        <v>713</v>
      </c>
      <c r="U133" s="63">
        <v>1100</v>
      </c>
      <c r="V133" s="6">
        <f t="shared" ref="V133" si="72">IF(U133=0,"NA",(+T133-U133)/U133)</f>
        <v>-0.35181818181818181</v>
      </c>
      <c r="W133" s="73" t="s">
        <v>191</v>
      </c>
      <c r="X133" s="69" t="s">
        <v>150</v>
      </c>
      <c r="Z133" s="97"/>
    </row>
    <row r="134" spans="1:26" ht="28.8" x14ac:dyDescent="0.3">
      <c r="A134" s="47">
        <v>122</v>
      </c>
      <c r="C134" s="1" t="s">
        <v>199</v>
      </c>
      <c r="E134" s="120">
        <v>27</v>
      </c>
      <c r="F134" s="129">
        <f>ROUND(+J134*(1+H134),2)</f>
        <v>14.35</v>
      </c>
      <c r="G134" s="120">
        <v>52</v>
      </c>
      <c r="H134" s="133">
        <f>+$F$76+0.005</f>
        <v>2.5000000000000001E-2</v>
      </c>
      <c r="I134" s="120">
        <v>30</v>
      </c>
      <c r="J134" s="125">
        <v>14</v>
      </c>
      <c r="K134" s="120">
        <v>52</v>
      </c>
      <c r="L134" s="6">
        <f>IF(M134=0,0,(+J134-M134)/M134)</f>
        <v>0.15511551155115519</v>
      </c>
      <c r="M134" s="126">
        <v>12.12</v>
      </c>
      <c r="N134" s="40"/>
      <c r="O134" s="131">
        <f>ROUND(E134*F134*G134,0)</f>
        <v>20147</v>
      </c>
      <c r="P134" s="85">
        <f>ROUND((30*52*14)*(1),0)</f>
        <v>21840</v>
      </c>
      <c r="Q134" s="40">
        <f t="shared" si="68"/>
        <v>-1693</v>
      </c>
      <c r="R134" s="6">
        <f t="shared" si="69"/>
        <v>-7.751831501831502E-2</v>
      </c>
      <c r="T134" s="136">
        <v>18620</v>
      </c>
      <c r="U134" s="63">
        <v>20160</v>
      </c>
      <c r="V134" s="6">
        <f t="shared" si="70"/>
        <v>-7.6388888888888895E-2</v>
      </c>
      <c r="W134" s="73" t="str">
        <f>"Debbie Toff:  "&amp;Bud_Yr&amp;":  avg "&amp;E134&amp;" hrs/week at $"&amp;F134&amp;"/hr ("&amp;ROUND(H134*100,1)&amp;"% incr.) for "&amp;G134&amp;" weeks.                              "&amp;Bud_Yr-1&amp;":  avg "&amp;I134&amp;" hrs/week at $"&amp;J134&amp;"/hr ("&amp;ROUND(L134*100,1)&amp;"% incr.) for "&amp;K134&amp;" weeks.   "&amp;Bud_Yr-2&amp;":  $"&amp;M134&amp;"/hour."</f>
        <v>Debbie Toff:  2018:  avg 27 hrs/week at $14.35/hr (2.5% incr.) for 52 weeks.                              2017:  avg 30 hrs/week at $14/hr (15.5% incr.) for 52 weeks.   2016:  $12.12/hour.</v>
      </c>
      <c r="X134" s="73" t="s">
        <v>134</v>
      </c>
      <c r="Y134" s="55"/>
    </row>
    <row r="135" spans="1:26" ht="28.8" x14ac:dyDescent="0.3">
      <c r="C135" s="172" t="s">
        <v>220</v>
      </c>
      <c r="D135" s="172"/>
      <c r="E135" s="120">
        <v>15</v>
      </c>
      <c r="F135" s="129">
        <f>ROUND(+J135*(1+H135),2)</f>
        <v>14</v>
      </c>
      <c r="G135" s="120">
        <v>52</v>
      </c>
      <c r="H135" s="128">
        <v>0</v>
      </c>
      <c r="I135" s="120">
        <v>15</v>
      </c>
      <c r="J135" s="125">
        <v>14</v>
      </c>
      <c r="K135" s="120">
        <v>52</v>
      </c>
      <c r="L135" s="6">
        <f>IF(M135=0,0,(+J135-M135)/M135)</f>
        <v>0</v>
      </c>
      <c r="M135" s="126"/>
      <c r="O135" s="131">
        <f>ROUND(+F135*E135*G135,0)</f>
        <v>10920</v>
      </c>
      <c r="P135" s="63">
        <v>0</v>
      </c>
      <c r="Q135" s="40">
        <f t="shared" ref="Q135" si="73">+O135-P135</f>
        <v>10920</v>
      </c>
      <c r="R135" s="6" t="str">
        <f t="shared" ref="R135" si="74">IF(P135=0,"NA",(+O135-P135)/P135)</f>
        <v>NA</v>
      </c>
      <c r="T135" s="63">
        <v>5733</v>
      </c>
      <c r="U135" s="63">
        <v>0</v>
      </c>
      <c r="V135" s="6" t="str">
        <f>IF(U135=0,"NA",(+T135-U135)/U135)</f>
        <v>NA</v>
      </c>
      <c r="W135" s="73" t="str">
        <f>"Heather Keszler:  "&amp;Bud_Yr&amp;":  avg "&amp;E135&amp;" hrs/week at $"&amp;F135&amp;"/hr ("&amp;ROUND(H135*100,1)&amp;"% incr.) for "&amp;G135&amp;" weeks.                       "&amp;Bud_Yr-1&amp;":  avg "&amp;I135&amp;" hrs/week at $"&amp;J135&amp;"/hr ("&amp;ROUND(L135*100,1)&amp;"% incr.) for "&amp;K135&amp;" weeks.   "</f>
        <v xml:space="preserve">Heather Keszler:  2018:  avg 15 hrs/week at $14/hr (0% incr.) for 52 weeks.                       2017:  avg 15 hrs/week at $14/hr (0% incr.) for 52 weeks.   </v>
      </c>
      <c r="X135" s="70"/>
    </row>
    <row r="136" spans="1:26" x14ac:dyDescent="0.3">
      <c r="A136" s="47">
        <v>123</v>
      </c>
      <c r="C136" s="1" t="s">
        <v>61</v>
      </c>
      <c r="E136" s="134">
        <f>+O88+O93+O98+O103+O113+O124+O127+O128+O131+O132+O133+O134+O138</f>
        <v>283968</v>
      </c>
      <c r="I136" s="134">
        <f>+P88+P93+P98+P103+P113+P124+P127+P128+P131+P132+P133+P134+P138</f>
        <v>277919.63360499998</v>
      </c>
      <c r="J136" s="135"/>
      <c r="K136" s="113"/>
      <c r="L136" s="113"/>
      <c r="M136" s="169">
        <v>7.6499999999999999E-2</v>
      </c>
      <c r="O136" s="85">
        <f>ROUND((+O78+O91+O101+O102+O106+O127+O128+O134+O135+O133+O121+O116+O120+O122)*M136,0)</f>
        <v>17798</v>
      </c>
      <c r="P136" s="65">
        <f>14229-0.5</f>
        <v>14228.5</v>
      </c>
      <c r="Q136" s="40">
        <f t="shared" si="68"/>
        <v>3569.5</v>
      </c>
      <c r="R136" s="6">
        <f t="shared" si="69"/>
        <v>0.25086973328179357</v>
      </c>
      <c r="T136" s="65">
        <v>14744.69</v>
      </c>
      <c r="U136" s="65">
        <v>13132.02</v>
      </c>
      <c r="V136" s="6">
        <f t="shared" si="70"/>
        <v>0.12280441242093752</v>
      </c>
      <c r="W136" s="80"/>
      <c r="X136" s="73" t="s">
        <v>151</v>
      </c>
    </row>
    <row r="137" spans="1:26" ht="14.4" customHeight="1" x14ac:dyDescent="0.3">
      <c r="A137" s="47">
        <v>124</v>
      </c>
      <c r="C137" s="1" t="s">
        <v>62</v>
      </c>
      <c r="O137" s="96">
        <v>3115</v>
      </c>
      <c r="P137" s="63">
        <v>2994</v>
      </c>
      <c r="Q137" s="40">
        <f t="shared" si="68"/>
        <v>121</v>
      </c>
      <c r="R137" s="6">
        <f t="shared" si="69"/>
        <v>4.041416165664663E-2</v>
      </c>
      <c r="T137" s="65">
        <v>3420</v>
      </c>
      <c r="U137" s="65">
        <v>2994</v>
      </c>
      <c r="V137" s="6">
        <f t="shared" si="70"/>
        <v>0.14228456913827656</v>
      </c>
      <c r="W137" s="73" t="s">
        <v>185</v>
      </c>
      <c r="X137" s="73" t="s">
        <v>152</v>
      </c>
    </row>
    <row r="138" spans="1:26" hidden="1" x14ac:dyDescent="0.3">
      <c r="A138" s="47">
        <v>125</v>
      </c>
      <c r="C138" s="1" t="s">
        <v>63</v>
      </c>
      <c r="O138" s="65">
        <v>0</v>
      </c>
      <c r="P138" s="63">
        <v>0</v>
      </c>
      <c r="Q138" s="40">
        <f t="shared" si="68"/>
        <v>0</v>
      </c>
      <c r="R138" s="6" t="str">
        <f t="shared" si="69"/>
        <v>NA</v>
      </c>
      <c r="T138" s="65">
        <v>0</v>
      </c>
      <c r="U138" s="65">
        <v>0</v>
      </c>
      <c r="V138" s="6" t="str">
        <f t="shared" si="70"/>
        <v>NA</v>
      </c>
      <c r="W138" s="73"/>
      <c r="X138" s="69"/>
    </row>
    <row r="139" spans="1:26" s="4" customFormat="1" x14ac:dyDescent="0.3">
      <c r="A139" s="47">
        <v>127</v>
      </c>
      <c r="B139" s="26" t="s">
        <v>58</v>
      </c>
      <c r="C139" s="26"/>
      <c r="D139" s="26"/>
      <c r="E139" s="110"/>
      <c r="F139" s="110"/>
      <c r="G139" s="110"/>
      <c r="H139" s="110"/>
      <c r="I139" s="110"/>
      <c r="J139" s="110"/>
      <c r="K139" s="110"/>
      <c r="L139" s="110"/>
      <c r="M139" s="110"/>
      <c r="N139" s="26"/>
      <c r="O139" s="26">
        <f>SUM(O127:O138)</f>
        <v>100699</v>
      </c>
      <c r="P139" s="26">
        <f>SUM(P127:P138)</f>
        <v>79940.5</v>
      </c>
      <c r="Q139" s="26">
        <f>SUM(Q127:Q138)</f>
        <v>20758.5</v>
      </c>
      <c r="R139" s="27">
        <f t="shared" si="69"/>
        <v>0.25967438282222405</v>
      </c>
      <c r="T139" s="26">
        <f>SUM(T127:T138)</f>
        <v>85731.1</v>
      </c>
      <c r="U139" s="26">
        <f>SUM(U127:U138)</f>
        <v>74006.44</v>
      </c>
      <c r="V139" s="27">
        <f t="shared" si="70"/>
        <v>0.15842756387146853</v>
      </c>
      <c r="W139" s="91"/>
      <c r="X139" s="72"/>
    </row>
    <row r="140" spans="1:26" x14ac:dyDescent="0.3">
      <c r="A140" s="47">
        <v>128</v>
      </c>
      <c r="B140" s="26" t="s">
        <v>64</v>
      </c>
      <c r="C140" s="26"/>
      <c r="D140" s="26" t="str">
        <f>0*100%&amp;"% Cost of Living"</f>
        <v>0% Cost of Living</v>
      </c>
      <c r="E140" s="110"/>
      <c r="F140" s="27"/>
      <c r="G140" s="27"/>
      <c r="H140" s="27"/>
      <c r="I140" s="27"/>
      <c r="J140" s="27"/>
      <c r="K140" s="27"/>
      <c r="L140" s="27"/>
      <c r="M140" s="27"/>
      <c r="N140" s="36"/>
      <c r="O140" s="26">
        <f>+O88+O93+O98+O103+O113+O124+O139</f>
        <v>315801</v>
      </c>
      <c r="P140" s="26">
        <f>+P88+P93+P98+P103+P113+P124+P139</f>
        <v>295142.13360499998</v>
      </c>
      <c r="Q140" s="26">
        <f>+Q88+Q93+Q98+Q103+Q113+Q124+Q139</f>
        <v>20658.866395000001</v>
      </c>
      <c r="R140" s="27">
        <f t="shared" si="69"/>
        <v>6.9996330726024264E-2</v>
      </c>
      <c r="T140" s="26">
        <f>+T88+T93+T98+T103+T113+T124+T139</f>
        <v>256008.40000000002</v>
      </c>
      <c r="U140" s="26">
        <f>+U88+U93+U98+U103+U113+U124+U139</f>
        <v>269566.36</v>
      </c>
      <c r="V140" s="27">
        <f t="shared" si="70"/>
        <v>-5.0295444876727068E-2</v>
      </c>
      <c r="W140" s="89"/>
      <c r="X140" s="70"/>
    </row>
    <row r="141" spans="1:26" ht="8.25" customHeight="1" x14ac:dyDescent="0.3">
      <c r="A141" s="47">
        <v>129</v>
      </c>
      <c r="R141" s="7"/>
      <c r="W141" s="89"/>
      <c r="X141" s="70"/>
    </row>
    <row r="142" spans="1:26" ht="18" x14ac:dyDescent="0.3">
      <c r="A142" s="47">
        <v>130</v>
      </c>
      <c r="B142" s="9" t="s">
        <v>65</v>
      </c>
      <c r="R142" s="7"/>
      <c r="W142" s="89"/>
      <c r="X142" s="70"/>
    </row>
    <row r="143" spans="1:26" x14ac:dyDescent="0.3">
      <c r="A143" s="47">
        <v>131</v>
      </c>
      <c r="B143" s="4" t="s">
        <v>66</v>
      </c>
      <c r="R143" s="7"/>
      <c r="W143" s="89"/>
      <c r="X143" s="70"/>
    </row>
    <row r="144" spans="1:26" ht="14.4" customHeight="1" x14ac:dyDescent="0.3">
      <c r="A144" s="47">
        <v>132</v>
      </c>
      <c r="C144" s="1" t="s">
        <v>68</v>
      </c>
      <c r="O144" s="96">
        <v>8400</v>
      </c>
      <c r="P144" s="65">
        <v>9000</v>
      </c>
      <c r="Q144" s="40">
        <f t="shared" ref="Q144:Q150" si="75">+O144-P144</f>
        <v>-600</v>
      </c>
      <c r="R144" s="6">
        <f t="shared" ref="R144:R151" si="76">IF(P144=0,"NA",(+O144-P144)/P144)</f>
        <v>-6.6666666666666666E-2</v>
      </c>
      <c r="T144" s="63">
        <v>8394.94</v>
      </c>
      <c r="U144" s="63">
        <v>8452.15</v>
      </c>
      <c r="V144" s="6">
        <f t="shared" ref="V144:V151" si="77">IF(U144=0,"NA",(+T144-U144)/U144)</f>
        <v>-6.7686919896120072E-3</v>
      </c>
      <c r="W144" s="73"/>
      <c r="X144" s="69" t="s">
        <v>153</v>
      </c>
    </row>
    <row r="145" spans="1:24" ht="14.4" customHeight="1" x14ac:dyDescent="0.3">
      <c r="A145" s="47">
        <v>133</v>
      </c>
      <c r="C145" s="1" t="s">
        <v>69</v>
      </c>
      <c r="O145" s="65">
        <v>8000</v>
      </c>
      <c r="P145" s="65">
        <v>12000</v>
      </c>
      <c r="Q145" s="40">
        <f t="shared" si="75"/>
        <v>-4000</v>
      </c>
      <c r="R145" s="6">
        <f t="shared" si="76"/>
        <v>-0.33333333333333331</v>
      </c>
      <c r="T145" s="63">
        <v>6309.42</v>
      </c>
      <c r="U145" s="63">
        <v>10858</v>
      </c>
      <c r="V145" s="6">
        <f t="shared" si="77"/>
        <v>-0.41891508565113278</v>
      </c>
      <c r="W145" s="77"/>
      <c r="X145" s="77" t="s">
        <v>159</v>
      </c>
    </row>
    <row r="146" spans="1:24" ht="14.4" customHeight="1" x14ac:dyDescent="0.3">
      <c r="A146" s="47">
        <v>134</v>
      </c>
      <c r="C146" s="1" t="s">
        <v>70</v>
      </c>
      <c r="N146" s="5"/>
      <c r="O146" s="136">
        <v>5000</v>
      </c>
      <c r="P146" s="63">
        <v>5976</v>
      </c>
      <c r="Q146" s="40">
        <f t="shared" si="75"/>
        <v>-976</v>
      </c>
      <c r="R146" s="6">
        <f t="shared" si="76"/>
        <v>-0.16331994645247658</v>
      </c>
      <c r="T146" s="63">
        <v>4806.96</v>
      </c>
      <c r="U146" s="63">
        <v>5478</v>
      </c>
      <c r="V146" s="6">
        <f t="shared" si="77"/>
        <v>-0.1224972617743702</v>
      </c>
      <c r="W146" s="77" t="s">
        <v>215</v>
      </c>
      <c r="X146" s="76"/>
    </row>
    <row r="147" spans="1:24" ht="14.4" customHeight="1" x14ac:dyDescent="0.3">
      <c r="A147" s="47">
        <v>135</v>
      </c>
      <c r="C147" s="1" t="s">
        <v>71</v>
      </c>
      <c r="O147" s="63">
        <v>800</v>
      </c>
      <c r="P147" s="63">
        <v>800</v>
      </c>
      <c r="Q147" s="40">
        <f t="shared" si="75"/>
        <v>0</v>
      </c>
      <c r="R147" s="6">
        <f t="shared" si="76"/>
        <v>0</v>
      </c>
      <c r="T147" s="63">
        <v>782.05</v>
      </c>
      <c r="U147" s="63">
        <v>800</v>
      </c>
      <c r="V147" s="6">
        <f t="shared" si="77"/>
        <v>-2.2437500000000058E-2</v>
      </c>
      <c r="W147" s="73"/>
      <c r="X147" s="69"/>
    </row>
    <row r="148" spans="1:24" ht="14.4" customHeight="1" x14ac:dyDescent="0.3">
      <c r="A148" s="47">
        <v>136</v>
      </c>
      <c r="C148" s="1" t="s">
        <v>72</v>
      </c>
      <c r="O148" s="65">
        <v>300</v>
      </c>
      <c r="P148" s="65">
        <v>350</v>
      </c>
      <c r="Q148" s="40">
        <f t="shared" si="75"/>
        <v>-50</v>
      </c>
      <c r="R148" s="6">
        <f t="shared" si="76"/>
        <v>-0.14285714285714285</v>
      </c>
      <c r="T148" s="63">
        <v>263.39999999999998</v>
      </c>
      <c r="U148" s="63">
        <v>342.3</v>
      </c>
      <c r="V148" s="6">
        <f t="shared" si="77"/>
        <v>-0.23049956178790543</v>
      </c>
      <c r="W148" s="77"/>
      <c r="X148" s="77" t="s">
        <v>160</v>
      </c>
    </row>
    <row r="149" spans="1:24" ht="14.4" customHeight="1" x14ac:dyDescent="0.3">
      <c r="A149" s="47">
        <v>137</v>
      </c>
      <c r="C149" s="1" t="s">
        <v>73</v>
      </c>
      <c r="H149" s="114"/>
      <c r="I149" s="114"/>
      <c r="J149" s="114"/>
      <c r="K149" s="114"/>
      <c r="L149" s="114"/>
      <c r="M149" s="114"/>
      <c r="O149" s="96">
        <v>2000</v>
      </c>
      <c r="P149" s="65">
        <f>+ROUND((137*12)+(80*12)+150+46,0)</f>
        <v>2800</v>
      </c>
      <c r="Q149" s="40">
        <f t="shared" si="75"/>
        <v>-800</v>
      </c>
      <c r="R149" s="6">
        <f t="shared" si="76"/>
        <v>-0.2857142857142857</v>
      </c>
      <c r="T149" s="63">
        <v>1760.71</v>
      </c>
      <c r="U149" s="63">
        <v>2539.13</v>
      </c>
      <c r="V149" s="6">
        <f t="shared" si="77"/>
        <v>-0.30656957304273513</v>
      </c>
      <c r="W149" s="73" t="s">
        <v>214</v>
      </c>
      <c r="X149" s="73" t="s">
        <v>161</v>
      </c>
    </row>
    <row r="150" spans="1:24" ht="14.4" customHeight="1" x14ac:dyDescent="0.3">
      <c r="A150" s="47">
        <v>138</v>
      </c>
      <c r="C150" s="1" t="s">
        <v>112</v>
      </c>
      <c r="O150" s="63">
        <v>4500</v>
      </c>
      <c r="P150" s="63">
        <v>3900</v>
      </c>
      <c r="Q150" s="40">
        <f t="shared" si="75"/>
        <v>600</v>
      </c>
      <c r="R150" s="6">
        <f t="shared" si="76"/>
        <v>0.15384615384615385</v>
      </c>
      <c r="T150" s="63">
        <v>4188.72</v>
      </c>
      <c r="U150" s="63">
        <v>3900</v>
      </c>
      <c r="V150" s="6">
        <f t="shared" si="77"/>
        <v>7.4030769230769303E-2</v>
      </c>
      <c r="W150" s="73"/>
      <c r="X150" s="69"/>
    </row>
    <row r="151" spans="1:24" s="4" customFormat="1" x14ac:dyDescent="0.3">
      <c r="A151" s="47">
        <v>139</v>
      </c>
      <c r="B151" s="29" t="s">
        <v>74</v>
      </c>
      <c r="C151" s="29"/>
      <c r="D151" s="29"/>
      <c r="E151" s="115"/>
      <c r="F151" s="115"/>
      <c r="G151" s="115"/>
      <c r="H151" s="115"/>
      <c r="I151" s="115"/>
      <c r="J151" s="115"/>
      <c r="K151" s="115"/>
      <c r="L151" s="115"/>
      <c r="M151" s="115"/>
      <c r="N151" s="29"/>
      <c r="O151" s="29">
        <f>SUM(O144:O150)</f>
        <v>29000</v>
      </c>
      <c r="P151" s="29">
        <f>SUM(P144:P150)</f>
        <v>34826</v>
      </c>
      <c r="Q151" s="29">
        <f>SUM(Q144:Q150)</f>
        <v>-5826</v>
      </c>
      <c r="R151" s="30">
        <f t="shared" si="76"/>
        <v>-0.16728880721300177</v>
      </c>
      <c r="T151" s="29">
        <f>SUM(T144:T150)</f>
        <v>26506.2</v>
      </c>
      <c r="U151" s="29">
        <f>SUM(U144:U150)</f>
        <v>32369.58</v>
      </c>
      <c r="V151" s="30">
        <f t="shared" si="77"/>
        <v>-0.18113858752569545</v>
      </c>
      <c r="W151" s="91"/>
      <c r="X151" s="72"/>
    </row>
    <row r="152" spans="1:24" s="4" customFormat="1" ht="6.75" customHeight="1" x14ac:dyDescent="0.3">
      <c r="A152" s="47">
        <v>140</v>
      </c>
      <c r="B152" s="17"/>
      <c r="C152" s="17"/>
      <c r="D152" s="17"/>
      <c r="E152" s="100"/>
      <c r="F152" s="100"/>
      <c r="G152" s="100"/>
      <c r="H152" s="100"/>
      <c r="I152" s="100"/>
      <c r="J152" s="100"/>
      <c r="K152" s="100"/>
      <c r="L152" s="100"/>
      <c r="M152" s="100"/>
      <c r="N152" s="17"/>
      <c r="O152" s="17"/>
      <c r="P152" s="17"/>
      <c r="Q152" s="17"/>
      <c r="R152" s="20"/>
      <c r="T152" s="17"/>
      <c r="U152" s="17"/>
      <c r="V152" s="20"/>
      <c r="W152" s="91"/>
      <c r="X152" s="72"/>
    </row>
    <row r="153" spans="1:24" x14ac:dyDescent="0.3">
      <c r="A153" s="47">
        <v>141</v>
      </c>
      <c r="B153" s="4" t="s">
        <v>75</v>
      </c>
      <c r="R153" s="7"/>
      <c r="W153" s="89"/>
      <c r="X153" s="70"/>
    </row>
    <row r="154" spans="1:24" ht="28.8" x14ac:dyDescent="0.3">
      <c r="A154" s="47">
        <v>142</v>
      </c>
      <c r="C154" s="1" t="s">
        <v>76</v>
      </c>
      <c r="O154" s="96">
        <v>14821</v>
      </c>
      <c r="P154" s="65">
        <v>15143</v>
      </c>
      <c r="Q154" s="40">
        <f t="shared" ref="Q154:Q159" si="78">+O154-P154</f>
        <v>-322</v>
      </c>
      <c r="R154" s="6">
        <f t="shared" ref="R154:R161" si="79">IF(P154=0,"NA",(+O154-P154)/P154)</f>
        <v>-2.1263950340091133E-2</v>
      </c>
      <c r="T154" s="63">
        <v>15002</v>
      </c>
      <c r="U154" s="63">
        <v>15143</v>
      </c>
      <c r="V154" s="6">
        <f t="shared" ref="V154:V161" si="80">IF(U154=0,"NA",(+T154-U154)/U154)</f>
        <v>-9.3112329128970488E-3</v>
      </c>
      <c r="W154" s="69" t="s">
        <v>184</v>
      </c>
      <c r="X154" s="69" t="s">
        <v>162</v>
      </c>
    </row>
    <row r="155" spans="1:24" x14ac:dyDescent="0.3">
      <c r="A155" s="47">
        <v>143</v>
      </c>
      <c r="C155" s="1" t="s">
        <v>77</v>
      </c>
      <c r="O155" s="63">
        <v>4000</v>
      </c>
      <c r="P155" s="63">
        <v>5000</v>
      </c>
      <c r="Q155" s="40">
        <f t="shared" si="78"/>
        <v>-1000</v>
      </c>
      <c r="R155" s="6">
        <f t="shared" si="79"/>
        <v>-0.2</v>
      </c>
      <c r="T155" s="63">
        <v>2035</v>
      </c>
      <c r="U155" s="63">
        <v>4000</v>
      </c>
      <c r="V155" s="6">
        <f t="shared" si="80"/>
        <v>-0.49125000000000002</v>
      </c>
      <c r="W155" s="73"/>
      <c r="X155" s="69"/>
    </row>
    <row r="156" spans="1:24" x14ac:dyDescent="0.3">
      <c r="A156" s="47">
        <v>144</v>
      </c>
      <c r="C156" s="1" t="s">
        <v>103</v>
      </c>
      <c r="O156" s="63">
        <v>4000</v>
      </c>
      <c r="P156" s="63">
        <v>2500</v>
      </c>
      <c r="Q156" s="40">
        <f t="shared" si="78"/>
        <v>1500</v>
      </c>
      <c r="R156" s="6">
        <f t="shared" si="79"/>
        <v>0.6</v>
      </c>
      <c r="T156" s="63">
        <v>4847.5</v>
      </c>
      <c r="U156" s="63">
        <v>2291.63</v>
      </c>
      <c r="V156" s="6">
        <f t="shared" si="80"/>
        <v>1.1153065721778821</v>
      </c>
      <c r="W156" s="73"/>
      <c r="X156" s="69"/>
    </row>
    <row r="157" spans="1:24" ht="28.8" x14ac:dyDescent="0.3">
      <c r="A157" s="47">
        <v>145</v>
      </c>
      <c r="C157" s="172" t="s">
        <v>106</v>
      </c>
      <c r="D157" s="172"/>
      <c r="E157" s="38"/>
      <c r="F157" s="38"/>
      <c r="G157" s="38"/>
      <c r="H157" s="38"/>
      <c r="I157" s="38"/>
      <c r="J157" s="38"/>
      <c r="K157" s="38"/>
      <c r="L157" s="38"/>
      <c r="M157" s="38"/>
      <c r="N157" s="52"/>
      <c r="O157" s="63">
        <v>3500</v>
      </c>
      <c r="P157" s="63">
        <v>4300</v>
      </c>
      <c r="Q157" s="40">
        <f t="shared" si="78"/>
        <v>-800</v>
      </c>
      <c r="R157" s="6">
        <f t="shared" si="79"/>
        <v>-0.18604651162790697</v>
      </c>
      <c r="T157" s="63">
        <v>3593.01</v>
      </c>
      <c r="U157" s="63">
        <v>3941.63</v>
      </c>
      <c r="V157" s="6">
        <f t="shared" si="80"/>
        <v>-8.8445643046150935E-2</v>
      </c>
      <c r="W157" s="73" t="s">
        <v>216</v>
      </c>
      <c r="X157" s="69"/>
    </row>
    <row r="158" spans="1:24" ht="42.75" customHeight="1" x14ac:dyDescent="0.3">
      <c r="A158" s="47">
        <v>146</v>
      </c>
      <c r="C158" s="1" t="s">
        <v>78</v>
      </c>
      <c r="O158" s="136">
        <v>7500</v>
      </c>
      <c r="P158" s="63">
        <v>6000</v>
      </c>
      <c r="Q158" s="40">
        <f t="shared" si="78"/>
        <v>1500</v>
      </c>
      <c r="R158" s="6">
        <f t="shared" si="79"/>
        <v>0.25</v>
      </c>
      <c r="T158" s="136">
        <v>21764.35</v>
      </c>
      <c r="U158" s="63">
        <v>5500</v>
      </c>
      <c r="V158" s="6">
        <f t="shared" si="80"/>
        <v>2.9571545454545451</v>
      </c>
      <c r="W158" s="73" t="s">
        <v>217</v>
      </c>
      <c r="X158" s="69"/>
    </row>
    <row r="159" spans="1:24" x14ac:dyDescent="0.3">
      <c r="A159" s="47">
        <v>149</v>
      </c>
      <c r="C159" s="1" t="s">
        <v>79</v>
      </c>
      <c r="O159" s="63">
        <v>0</v>
      </c>
      <c r="P159" s="63">
        <v>0</v>
      </c>
      <c r="Q159" s="40">
        <f t="shared" si="78"/>
        <v>0</v>
      </c>
      <c r="R159" s="6" t="str">
        <f t="shared" si="79"/>
        <v>NA</v>
      </c>
      <c r="T159" s="63">
        <v>18.600000000000001</v>
      </c>
      <c r="U159" s="63">
        <v>0</v>
      </c>
      <c r="V159" s="6" t="str">
        <f t="shared" si="80"/>
        <v>NA</v>
      </c>
      <c r="W159" s="91"/>
      <c r="X159" s="73"/>
    </row>
    <row r="160" spans="1:24" s="4" customFormat="1" x14ac:dyDescent="0.3">
      <c r="A160" s="47">
        <v>150</v>
      </c>
      <c r="B160" s="29" t="s">
        <v>80</v>
      </c>
      <c r="C160" s="29"/>
      <c r="D160" s="29"/>
      <c r="E160" s="115"/>
      <c r="F160" s="115"/>
      <c r="G160" s="115"/>
      <c r="H160" s="115"/>
      <c r="I160" s="115"/>
      <c r="J160" s="115"/>
      <c r="K160" s="115"/>
      <c r="L160" s="115"/>
      <c r="M160" s="115"/>
      <c r="N160" s="29"/>
      <c r="O160" s="29">
        <f>SUM(O154:O159)</f>
        <v>33821</v>
      </c>
      <c r="P160" s="29">
        <f>SUM(P154:P159)</f>
        <v>32943</v>
      </c>
      <c r="Q160" s="29">
        <f>SUM(Q154:Q159)</f>
        <v>878</v>
      </c>
      <c r="R160" s="30">
        <f t="shared" si="79"/>
        <v>2.665209604468324E-2</v>
      </c>
      <c r="T160" s="29">
        <f>SUM(T154:T159)</f>
        <v>47260.46</v>
      </c>
      <c r="U160" s="29">
        <f>SUM(U154:U159)</f>
        <v>30876.260000000002</v>
      </c>
      <c r="V160" s="30">
        <f t="shared" si="80"/>
        <v>0.53064069288184501</v>
      </c>
      <c r="W160" s="91"/>
      <c r="X160" s="72"/>
    </row>
    <row r="161" spans="1:24" x14ac:dyDescent="0.3">
      <c r="A161" s="47">
        <v>151</v>
      </c>
      <c r="B161" s="29" t="s">
        <v>81</v>
      </c>
      <c r="C161" s="29"/>
      <c r="D161" s="29"/>
      <c r="E161" s="115"/>
      <c r="F161" s="115"/>
      <c r="G161" s="115"/>
      <c r="H161" s="115"/>
      <c r="I161" s="115"/>
      <c r="J161" s="115"/>
      <c r="K161" s="115"/>
      <c r="L161" s="115"/>
      <c r="M161" s="115"/>
      <c r="N161" s="29"/>
      <c r="O161" s="29">
        <f>+O151+O160</f>
        <v>62821</v>
      </c>
      <c r="P161" s="29">
        <f>+P151+P160</f>
        <v>67769</v>
      </c>
      <c r="Q161" s="29">
        <f>+Q151+Q160</f>
        <v>-4948</v>
      </c>
      <c r="R161" s="30">
        <f t="shared" si="79"/>
        <v>-7.3012734436099097E-2</v>
      </c>
      <c r="T161" s="29">
        <f>+T151+T160</f>
        <v>73766.66</v>
      </c>
      <c r="U161" s="29">
        <f>+U151+U160</f>
        <v>63245.840000000004</v>
      </c>
      <c r="V161" s="30">
        <f t="shared" si="80"/>
        <v>0.16634801593274751</v>
      </c>
      <c r="W161" s="89"/>
      <c r="X161" s="70"/>
    </row>
    <row r="162" spans="1:24" ht="4.5" customHeight="1" x14ac:dyDescent="0.3">
      <c r="A162" s="47">
        <v>152</v>
      </c>
      <c r="R162" s="7"/>
      <c r="W162" s="89"/>
      <c r="X162" s="70"/>
    </row>
    <row r="163" spans="1:24" ht="18" x14ac:dyDescent="0.3">
      <c r="A163" s="47">
        <v>153</v>
      </c>
      <c r="B163" s="9" t="s">
        <v>82</v>
      </c>
      <c r="R163" s="7"/>
      <c r="W163" s="89"/>
      <c r="X163" s="70"/>
    </row>
    <row r="164" spans="1:24" x14ac:dyDescent="0.3">
      <c r="A164" s="47">
        <v>154</v>
      </c>
      <c r="B164" s="4" t="s">
        <v>83</v>
      </c>
      <c r="R164" s="7"/>
      <c r="W164" s="89"/>
      <c r="X164" s="70"/>
    </row>
    <row r="165" spans="1:24" ht="28.8" x14ac:dyDescent="0.3">
      <c r="C165" s="1" t="s">
        <v>84</v>
      </c>
      <c r="O165" s="65">
        <v>0</v>
      </c>
      <c r="P165" s="65">
        <f>13000-1839+78</f>
        <v>11239</v>
      </c>
      <c r="Q165" s="40">
        <f t="shared" ref="Q165" si="81">+O165-P165</f>
        <v>-11239</v>
      </c>
      <c r="R165" s="6">
        <f t="shared" ref="R165" si="82">IF(P165=0,"NA",(+O165-P165)/P165)</f>
        <v>-1</v>
      </c>
      <c r="T165" s="63">
        <v>0</v>
      </c>
      <c r="U165" s="63">
        <v>10302.379999999999</v>
      </c>
      <c r="V165" s="6">
        <f t="shared" ref="V165" si="83">IF(U165=0,"NA",(+T165-U165)/U165)</f>
        <v>-1</v>
      </c>
      <c r="W165" s="73" t="s">
        <v>258</v>
      </c>
      <c r="X165" s="69"/>
    </row>
    <row r="166" spans="1:24" ht="28.8" x14ac:dyDescent="0.3">
      <c r="A166" s="47">
        <v>156</v>
      </c>
      <c r="C166" s="1" t="s">
        <v>171</v>
      </c>
      <c r="O166" s="65">
        <f>17477+6901</f>
        <v>24378</v>
      </c>
      <c r="P166" s="65">
        <f>25000</f>
        <v>25000</v>
      </c>
      <c r="Q166" s="40">
        <f t="shared" ref="Q166:Q169" si="84">+O166-P166</f>
        <v>-622</v>
      </c>
      <c r="R166" s="6">
        <f t="shared" ref="R166:R170" si="85">IF(P166=0,"NA",(+O166-P166)/P166)</f>
        <v>-2.4879999999999999E-2</v>
      </c>
      <c r="T166" s="63">
        <v>0</v>
      </c>
      <c r="U166" s="63">
        <v>22916.63</v>
      </c>
      <c r="V166" s="6">
        <f t="shared" ref="V166:V170" si="86">IF(U166=0,"NA",(+T166-U166)/U166)</f>
        <v>-1</v>
      </c>
      <c r="W166" s="73" t="s">
        <v>259</v>
      </c>
      <c r="X166" s="69"/>
    </row>
    <row r="167" spans="1:24" ht="28.8" x14ac:dyDescent="0.3">
      <c r="A167" s="47">
        <v>157</v>
      </c>
      <c r="C167" s="1" t="s">
        <v>177</v>
      </c>
      <c r="O167" s="65">
        <v>5000</v>
      </c>
      <c r="P167" s="65">
        <f>12000+2000+5000</f>
        <v>19000</v>
      </c>
      <c r="Q167" s="40">
        <f t="shared" si="84"/>
        <v>-14000</v>
      </c>
      <c r="R167" s="6">
        <f t="shared" si="85"/>
        <v>-0.73684210526315785</v>
      </c>
      <c r="T167" s="63">
        <v>0</v>
      </c>
      <c r="U167" s="63">
        <v>17416.63</v>
      </c>
      <c r="V167" s="6">
        <f t="shared" si="86"/>
        <v>-1</v>
      </c>
      <c r="W167" s="73" t="s">
        <v>257</v>
      </c>
      <c r="X167" s="70"/>
    </row>
    <row r="168" spans="1:24" ht="28.8" x14ac:dyDescent="0.3">
      <c r="A168" s="47">
        <v>157</v>
      </c>
      <c r="C168" s="1" t="s">
        <v>256</v>
      </c>
      <c r="O168" s="65">
        <v>10000</v>
      </c>
      <c r="P168" s="65">
        <v>0</v>
      </c>
      <c r="Q168" s="40">
        <f t="shared" ref="Q168" si="87">+O168-P168</f>
        <v>10000</v>
      </c>
      <c r="R168" s="6" t="str">
        <f t="shared" ref="R168" si="88">IF(P168=0,"NA",(+O168-P168)/P168)</f>
        <v>NA</v>
      </c>
      <c r="T168" s="63">
        <v>0</v>
      </c>
      <c r="U168" s="63">
        <v>0</v>
      </c>
      <c r="V168" s="6" t="str">
        <f t="shared" ref="V168" si="89">IF(U168=0,"NA",(+T168-U168)/U168)</f>
        <v>NA</v>
      </c>
      <c r="W168" s="73" t="s">
        <v>260</v>
      </c>
      <c r="X168" s="70"/>
    </row>
    <row r="169" spans="1:24" hidden="1" x14ac:dyDescent="0.3">
      <c r="A169" s="47">
        <v>158</v>
      </c>
      <c r="C169" s="1" t="s">
        <v>85</v>
      </c>
      <c r="O169" s="65">
        <v>0</v>
      </c>
      <c r="P169" s="65">
        <v>0</v>
      </c>
      <c r="Q169" s="40">
        <f t="shared" si="84"/>
        <v>0</v>
      </c>
      <c r="R169" s="6" t="str">
        <f t="shared" si="85"/>
        <v>NA</v>
      </c>
      <c r="T169" s="63">
        <v>0</v>
      </c>
      <c r="U169" s="63">
        <v>0</v>
      </c>
      <c r="V169" s="6" t="str">
        <f t="shared" si="86"/>
        <v>NA</v>
      </c>
      <c r="W169" s="73"/>
      <c r="X169" s="73" t="s">
        <v>154</v>
      </c>
    </row>
    <row r="170" spans="1:24" s="4" customFormat="1" x14ac:dyDescent="0.3">
      <c r="A170" s="47">
        <v>159</v>
      </c>
      <c r="B170" s="31" t="s">
        <v>86</v>
      </c>
      <c r="C170" s="31"/>
      <c r="D170" s="31"/>
      <c r="E170" s="116"/>
      <c r="F170" s="116"/>
      <c r="G170" s="116"/>
      <c r="H170" s="116"/>
      <c r="I170" s="116"/>
      <c r="J170" s="116"/>
      <c r="K170" s="116"/>
      <c r="L170" s="116"/>
      <c r="M170" s="116"/>
      <c r="N170" s="31"/>
      <c r="O170" s="31">
        <f>SUM(O165:O169)</f>
        <v>39378</v>
      </c>
      <c r="P170" s="31">
        <f>SUM(P165:P169)</f>
        <v>55239</v>
      </c>
      <c r="Q170" s="31">
        <f>SUM(Q165:Q169)</f>
        <v>-15861</v>
      </c>
      <c r="R170" s="32">
        <f t="shared" si="85"/>
        <v>-0.28713409004507684</v>
      </c>
      <c r="T170" s="31">
        <f>SUM(T165:T169)</f>
        <v>0</v>
      </c>
      <c r="U170" s="31">
        <f>SUM(U165:U169)</f>
        <v>50635.64</v>
      </c>
      <c r="V170" s="32">
        <f t="shared" si="86"/>
        <v>-1</v>
      </c>
      <c r="W170" s="91"/>
      <c r="X170" s="72"/>
    </row>
    <row r="171" spans="1:24" ht="7.5" customHeight="1" x14ac:dyDescent="0.3">
      <c r="A171" s="47">
        <v>160</v>
      </c>
      <c r="D171" s="1"/>
      <c r="E171" s="42"/>
      <c r="R171" s="7"/>
      <c r="W171" s="89"/>
      <c r="X171" s="70"/>
    </row>
    <row r="172" spans="1:24" x14ac:dyDescent="0.3">
      <c r="A172" s="47">
        <v>161</v>
      </c>
      <c r="B172" s="33" t="s">
        <v>87</v>
      </c>
      <c r="C172" s="34"/>
      <c r="D172" s="34"/>
      <c r="E172" s="117"/>
      <c r="F172" s="117"/>
      <c r="G172" s="117"/>
      <c r="H172" s="117"/>
      <c r="I172" s="117"/>
      <c r="J172" s="117"/>
      <c r="K172" s="117"/>
      <c r="L172" s="117"/>
      <c r="M172" s="117"/>
      <c r="N172" s="34"/>
      <c r="O172" s="33">
        <f>O29+O74+O140+O161+O170</f>
        <v>521500</v>
      </c>
      <c r="P172" s="33">
        <f>+P74+P140+P161+P170+P29</f>
        <v>539500.13360499998</v>
      </c>
      <c r="Q172" s="33">
        <f>+Q74+Q140+Q161+Q170+Q29</f>
        <v>-18000.133604999999</v>
      </c>
      <c r="R172" s="35">
        <f>IF(P172=0,"NA",(+O172-P172)/P172)</f>
        <v>-3.3364465518703548E-2</v>
      </c>
      <c r="T172" s="33">
        <f>+T74+T140+T161+T170+T29</f>
        <v>417304.89</v>
      </c>
      <c r="U172" s="33">
        <f>+U74+U140+U161+U170+U29</f>
        <v>492747.84</v>
      </c>
      <c r="V172" s="35">
        <f>IF(U172=0,"NA",(+T172-U172)/U172)</f>
        <v>-0.15310660722531022</v>
      </c>
      <c r="W172" s="89"/>
      <c r="X172" s="70"/>
    </row>
    <row r="173" spans="1:24" x14ac:dyDescent="0.3">
      <c r="A173" s="47">
        <v>162</v>
      </c>
      <c r="B173" s="33" t="s">
        <v>88</v>
      </c>
      <c r="C173" s="34"/>
      <c r="D173" s="34"/>
      <c r="E173" s="117"/>
      <c r="F173" s="117"/>
      <c r="G173" s="117"/>
      <c r="H173" s="117"/>
      <c r="I173" s="117"/>
      <c r="J173" s="117"/>
      <c r="K173" s="117"/>
      <c r="L173" s="117"/>
      <c r="M173" s="117"/>
      <c r="N173" s="34"/>
      <c r="O173" s="33">
        <f>ROUND(+O21-O172,0)</f>
        <v>0</v>
      </c>
      <c r="P173" s="33">
        <f>ROUND(+P21-P172,0)</f>
        <v>0</v>
      </c>
      <c r="Q173" s="33">
        <f>ROUND(+Q21-Q172,0)</f>
        <v>0</v>
      </c>
      <c r="R173" s="35" t="str">
        <f>IF(P173=0,"NA",(+O173-P173)/P173)</f>
        <v>NA</v>
      </c>
      <c r="T173" s="33">
        <f>+T21-T172</f>
        <v>77375.450000000012</v>
      </c>
      <c r="U173" s="33">
        <f>+U21-U172</f>
        <v>2891.7599999999511</v>
      </c>
      <c r="V173" s="35">
        <f>IF(U173=0,"NA",(+T173-U173)/U173)</f>
        <v>25.75721705812423</v>
      </c>
      <c r="W173" s="89"/>
      <c r="X173" s="70"/>
    </row>
    <row r="174" spans="1:24" ht="15" thickBot="1" x14ac:dyDescent="0.35">
      <c r="R174" s="7"/>
      <c r="W174" s="89"/>
      <c r="X174" s="70"/>
    </row>
    <row r="175" spans="1:24" x14ac:dyDescent="0.3">
      <c r="B175" s="146" t="s">
        <v>218</v>
      </c>
      <c r="C175" s="147"/>
      <c r="D175" s="147"/>
      <c r="E175" s="148"/>
      <c r="F175" s="148"/>
      <c r="G175" s="148"/>
      <c r="H175" s="148"/>
      <c r="I175" s="148"/>
      <c r="J175" s="148"/>
      <c r="K175" s="148"/>
      <c r="L175" s="148"/>
      <c r="M175" s="148"/>
      <c r="N175" s="147"/>
      <c r="O175" s="149">
        <f>+O7</f>
        <v>500000</v>
      </c>
      <c r="P175" s="149">
        <f>+P7</f>
        <v>520000</v>
      </c>
      <c r="Q175" s="150">
        <f t="shared" ref="Q175:Q177" si="90">+O175-P175</f>
        <v>-20000</v>
      </c>
      <c r="R175" s="151">
        <f t="shared" ref="R175:R177" si="91">IF(P175=0,"NA",(+O175-P175)/P175)</f>
        <v>-3.8461538461538464E-2</v>
      </c>
      <c r="S175" s="147"/>
      <c r="T175" s="149">
        <f>+T7</f>
        <v>474250.58</v>
      </c>
      <c r="U175" s="149">
        <f>+U7</f>
        <v>482473.68</v>
      </c>
      <c r="V175" s="152">
        <f t="shared" ref="V175:V177" si="92">IF(U175=0,"NA",(+T175-U175)/U175)</f>
        <v>-1.7043624016961873E-2</v>
      </c>
      <c r="W175" s="89"/>
      <c r="X175" s="70"/>
    </row>
    <row r="176" spans="1:24" x14ac:dyDescent="0.3">
      <c r="B176" s="153" t="s">
        <v>182</v>
      </c>
      <c r="C176" s="141"/>
      <c r="D176" s="141"/>
      <c r="E176" s="142"/>
      <c r="F176" s="142"/>
      <c r="G176" s="142"/>
      <c r="H176" s="142"/>
      <c r="I176" s="142"/>
      <c r="J176" s="142"/>
      <c r="K176" s="142"/>
      <c r="L176" s="142"/>
      <c r="M176" s="142"/>
      <c r="N176" s="141"/>
      <c r="O176" s="143">
        <f>+O172-O170</f>
        <v>482122</v>
      </c>
      <c r="P176" s="143">
        <f>+P172-P170</f>
        <v>484261.13360499998</v>
      </c>
      <c r="Q176" s="144">
        <f t="shared" si="90"/>
        <v>-2139.1336049999809</v>
      </c>
      <c r="R176" s="145">
        <f t="shared" si="91"/>
        <v>-4.4173142475332746E-3</v>
      </c>
      <c r="S176" s="141"/>
      <c r="T176" s="143">
        <f>+T172-T170</f>
        <v>417304.89</v>
      </c>
      <c r="U176" s="143">
        <f>+U172-U170</f>
        <v>442112.2</v>
      </c>
      <c r="V176" s="154">
        <f t="shared" si="92"/>
        <v>-5.6110892212429327E-2</v>
      </c>
      <c r="W176" s="89"/>
      <c r="X176" s="70"/>
    </row>
    <row r="177" spans="1:24" ht="15" thickBot="1" x14ac:dyDescent="0.35">
      <c r="B177" s="155" t="s">
        <v>219</v>
      </c>
      <c r="C177" s="156"/>
      <c r="D177" s="156"/>
      <c r="E177" s="157"/>
      <c r="F177" s="157"/>
      <c r="G177" s="157"/>
      <c r="H177" s="158"/>
      <c r="I177" s="158"/>
      <c r="J177" s="158"/>
      <c r="K177" s="158"/>
      <c r="L177" s="158"/>
      <c r="M177" s="158"/>
      <c r="N177" s="156"/>
      <c r="O177" s="159">
        <f>+O175-O176</f>
        <v>17878</v>
      </c>
      <c r="P177" s="159">
        <f>+P175-P176</f>
        <v>35738.866395000019</v>
      </c>
      <c r="Q177" s="160">
        <f t="shared" si="90"/>
        <v>-17860.866395000019</v>
      </c>
      <c r="R177" s="161">
        <f t="shared" si="91"/>
        <v>-0.49976029450947584</v>
      </c>
      <c r="S177" s="156"/>
      <c r="T177" s="159">
        <f>+T175-T176</f>
        <v>56945.69</v>
      </c>
      <c r="U177" s="159">
        <f>+U175-U176</f>
        <v>40361.479999999981</v>
      </c>
      <c r="V177" s="162">
        <f t="shared" si="92"/>
        <v>0.41089201882587134</v>
      </c>
      <c r="W177" s="89"/>
      <c r="X177" s="70"/>
    </row>
    <row r="178" spans="1:24" x14ac:dyDescent="0.3">
      <c r="R178" s="7"/>
      <c r="W178" s="70"/>
      <c r="X178" s="70"/>
    </row>
    <row r="179" spans="1:24" x14ac:dyDescent="0.3">
      <c r="H179" s="118"/>
      <c r="I179" s="118"/>
      <c r="J179" s="118"/>
      <c r="K179" s="118"/>
      <c r="L179" s="118"/>
      <c r="M179" s="118"/>
      <c r="V179" s="1"/>
      <c r="W179" s="70"/>
      <c r="X179" s="70"/>
    </row>
    <row r="180" spans="1:24" x14ac:dyDescent="0.3">
      <c r="R180" s="7"/>
      <c r="W180" s="70"/>
      <c r="X180" s="70"/>
    </row>
    <row r="181" spans="1:24" x14ac:dyDescent="0.3">
      <c r="D181" s="94"/>
      <c r="E181" s="119"/>
      <c r="R181" s="7"/>
      <c r="W181" s="70"/>
      <c r="X181" s="70"/>
    </row>
    <row r="182" spans="1:24" x14ac:dyDescent="0.3">
      <c r="R182" s="7"/>
      <c r="W182" s="70"/>
      <c r="X182" s="70"/>
    </row>
    <row r="183" spans="1:24" x14ac:dyDescent="0.3">
      <c r="A183" s="1"/>
      <c r="B183" s="1"/>
      <c r="R183" s="7"/>
      <c r="V183" s="1"/>
      <c r="W183" s="78"/>
      <c r="X183" s="78"/>
    </row>
    <row r="184" spans="1:24" x14ac:dyDescent="0.3">
      <c r="A184" s="1"/>
      <c r="B184" s="1"/>
      <c r="R184" s="7"/>
      <c r="V184" s="1"/>
      <c r="W184" s="78"/>
      <c r="X184" s="78"/>
    </row>
    <row r="185" spans="1:24" x14ac:dyDescent="0.3">
      <c r="A185" s="1"/>
      <c r="B185" s="1"/>
      <c r="R185" s="7"/>
      <c r="V185" s="1"/>
      <c r="W185" s="78"/>
      <c r="X185" s="78"/>
    </row>
    <row r="186" spans="1:24" x14ac:dyDescent="0.3">
      <c r="A186" s="1"/>
      <c r="B186" s="1"/>
      <c r="R186" s="7"/>
      <c r="V186" s="1"/>
      <c r="W186" s="78"/>
      <c r="X186" s="78"/>
    </row>
    <row r="187" spans="1:24" x14ac:dyDescent="0.3">
      <c r="A187" s="1"/>
      <c r="B187" s="1"/>
      <c r="R187" s="7"/>
      <c r="V187" s="1"/>
      <c r="W187" s="78"/>
      <c r="X187" s="78"/>
    </row>
    <row r="188" spans="1:24" x14ac:dyDescent="0.3">
      <c r="A188" s="1"/>
      <c r="B188" s="1"/>
      <c r="R188" s="7"/>
      <c r="V188" s="1"/>
      <c r="W188" s="78"/>
      <c r="X188" s="78"/>
    </row>
    <row r="189" spans="1:24" x14ac:dyDescent="0.3">
      <c r="A189" s="1"/>
      <c r="B189" s="1"/>
      <c r="R189" s="7"/>
      <c r="V189" s="1"/>
      <c r="W189" s="78"/>
      <c r="X189" s="40"/>
    </row>
    <row r="190" spans="1:24" x14ac:dyDescent="0.3">
      <c r="A190" s="1"/>
      <c r="B190" s="1"/>
      <c r="R190" s="7"/>
      <c r="V190" s="1"/>
      <c r="W190" s="78"/>
      <c r="X190" s="40"/>
    </row>
    <row r="191" spans="1:24" x14ac:dyDescent="0.3">
      <c r="A191" s="1"/>
      <c r="B191" s="1"/>
      <c r="R191" s="7"/>
      <c r="V191" s="1"/>
      <c r="W191" s="78"/>
      <c r="X191" s="40"/>
    </row>
    <row r="192" spans="1:24" x14ac:dyDescent="0.3">
      <c r="A192" s="1"/>
      <c r="B192" s="1"/>
      <c r="R192" s="7"/>
      <c r="V192" s="1"/>
      <c r="W192" s="78"/>
      <c r="X192" s="40"/>
    </row>
    <row r="193" spans="1:24" x14ac:dyDescent="0.3">
      <c r="A193" s="1"/>
      <c r="B193" s="1"/>
      <c r="R193" s="7"/>
      <c r="V193" s="1"/>
      <c r="W193" s="78"/>
      <c r="X193" s="40"/>
    </row>
    <row r="194" spans="1:24" x14ac:dyDescent="0.3">
      <c r="A194" s="1"/>
      <c r="B194" s="1"/>
      <c r="R194" s="7"/>
      <c r="V194" s="1"/>
      <c r="W194" s="78"/>
      <c r="X194" s="40"/>
    </row>
    <row r="195" spans="1:24" x14ac:dyDescent="0.3">
      <c r="A195" s="1"/>
      <c r="B195" s="1"/>
      <c r="R195" s="7"/>
      <c r="V195" s="1"/>
      <c r="W195" s="78"/>
      <c r="X195" s="40"/>
    </row>
    <row r="196" spans="1:24" x14ac:dyDescent="0.3">
      <c r="A196" s="1"/>
      <c r="B196" s="1"/>
      <c r="R196" s="7"/>
      <c r="V196" s="1"/>
      <c r="W196" s="79"/>
      <c r="X196" s="40"/>
    </row>
    <row r="197" spans="1:24" x14ac:dyDescent="0.3">
      <c r="X197" s="40"/>
    </row>
    <row r="198" spans="1:24" x14ac:dyDescent="0.3">
      <c r="X198" s="58"/>
    </row>
    <row r="199" spans="1:24" x14ac:dyDescent="0.3">
      <c r="X199" s="58"/>
    </row>
    <row r="200" spans="1:24" x14ac:dyDescent="0.3">
      <c r="X200" s="58"/>
    </row>
    <row r="201" spans="1:24" x14ac:dyDescent="0.3">
      <c r="X201" s="58"/>
    </row>
    <row r="202" spans="1:24" x14ac:dyDescent="0.3">
      <c r="X202" s="58"/>
    </row>
    <row r="203" spans="1:24" x14ac:dyDescent="0.3">
      <c r="X203" s="58"/>
    </row>
    <row r="204" spans="1:24" x14ac:dyDescent="0.3">
      <c r="X204" s="58"/>
    </row>
    <row r="205" spans="1:24" x14ac:dyDescent="0.3">
      <c r="X205" s="58"/>
    </row>
    <row r="206" spans="1:24" x14ac:dyDescent="0.3">
      <c r="X206" s="58"/>
    </row>
    <row r="207" spans="1:24" x14ac:dyDescent="0.3">
      <c r="X207" s="58"/>
    </row>
    <row r="208" spans="1:24" x14ac:dyDescent="0.3">
      <c r="X208" s="58"/>
    </row>
    <row r="209" spans="24:24" x14ac:dyDescent="0.3">
      <c r="X209" s="58"/>
    </row>
    <row r="210" spans="24:24" x14ac:dyDescent="0.3">
      <c r="X210" s="58"/>
    </row>
    <row r="211" spans="24:24" x14ac:dyDescent="0.3">
      <c r="X211" s="58"/>
    </row>
    <row r="212" spans="24:24" x14ac:dyDescent="0.3">
      <c r="X212" s="58"/>
    </row>
    <row r="213" spans="24:24" x14ac:dyDescent="0.3">
      <c r="X213" s="58"/>
    </row>
    <row r="214" spans="24:24" x14ac:dyDescent="0.3">
      <c r="X214" s="58"/>
    </row>
    <row r="215" spans="24:24" x14ac:dyDescent="0.3">
      <c r="X215" s="58"/>
    </row>
    <row r="216" spans="24:24" x14ac:dyDescent="0.3">
      <c r="X216" s="58"/>
    </row>
    <row r="217" spans="24:24" x14ac:dyDescent="0.3">
      <c r="X217" s="58"/>
    </row>
    <row r="218" spans="24:24" x14ac:dyDescent="0.3">
      <c r="X218" s="58"/>
    </row>
    <row r="219" spans="24:24" x14ac:dyDescent="0.3">
      <c r="X219" s="58"/>
    </row>
    <row r="220" spans="24:24" x14ac:dyDescent="0.3">
      <c r="X220" s="58"/>
    </row>
    <row r="221" spans="24:24" x14ac:dyDescent="0.3">
      <c r="X221" s="58"/>
    </row>
    <row r="222" spans="24:24" x14ac:dyDescent="0.3">
      <c r="X222" s="58"/>
    </row>
    <row r="223" spans="24:24" x14ac:dyDescent="0.3">
      <c r="X223" s="58"/>
    </row>
    <row r="224" spans="24:24" x14ac:dyDescent="0.3">
      <c r="X224" s="58"/>
    </row>
    <row r="225" spans="24:24" x14ac:dyDescent="0.3">
      <c r="X225" s="58"/>
    </row>
  </sheetData>
  <mergeCells count="20">
    <mergeCell ref="C135:D135"/>
    <mergeCell ref="I73:L73"/>
    <mergeCell ref="C81:D81"/>
    <mergeCell ref="E72:M72"/>
    <mergeCell ref="C157:D157"/>
    <mergeCell ref="E105:H105"/>
    <mergeCell ref="I106:N106"/>
    <mergeCell ref="B1:W1"/>
    <mergeCell ref="N76:N77"/>
    <mergeCell ref="O2:R2"/>
    <mergeCell ref="T2:V2"/>
    <mergeCell ref="Q3:R3"/>
    <mergeCell ref="T3:T4"/>
    <mergeCell ref="U3:U4"/>
    <mergeCell ref="V3:V4"/>
    <mergeCell ref="O3:O4"/>
    <mergeCell ref="P3:P4"/>
    <mergeCell ref="E73:H73"/>
    <mergeCell ref="G76:J76"/>
    <mergeCell ref="G77:J77"/>
  </mergeCells>
  <pageMargins left="0" right="0" top="0.5" bottom="0.5" header="0.3" footer="0.3"/>
  <pageSetup scale="73" fitToHeight="0" orientation="landscape" r:id="rId1"/>
  <headerFooter>
    <oddFooter>&amp;C&amp;P of &amp;N&amp;R&amp;D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Top Sheet</vt:lpstr>
      <vt:lpstr>Summary New Year</vt:lpstr>
      <vt:lpstr>New Year-Full Year</vt:lpstr>
      <vt:lpstr>Bud_Yr</vt:lpstr>
      <vt:lpstr>'New Year-Full Year'!Print_Titles</vt:lpstr>
      <vt:lpstr>'Summary New Year'!Print_Titles</vt:lpstr>
    </vt:vector>
  </TitlesOfParts>
  <Company>S.C. Johnson and Son,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Jacobson, Dawn M.</dc:creator>
  <cp:lastModifiedBy>Jacobson, Dawn M.</cp:lastModifiedBy>
  <cp:lastPrinted>2017-12-20T18:09:17Z</cp:lastPrinted>
  <dcterms:created xsi:type="dcterms:W3CDTF">2011-12-01T18:07:46Z</dcterms:created>
  <dcterms:modified xsi:type="dcterms:W3CDTF">2017-12-20T18:13:25Z</dcterms:modified>
</cp:coreProperties>
</file>